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worksheets/sheet1.xml" ContentType="application/vnd.openxmlformats-officedocument.spreadsheetml.workshee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6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charts/chart7.xml" ContentType="application/vnd.openxmlformats-officedocument.drawingml.chart+xml"/>
  <Override PartName="/xl/charts/chart2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8" yWindow="348" windowWidth="23256" windowHeight="8688"/>
  </bookViews>
  <sheets>
    <sheet name="Overview" sheetId="2" r:id="rId1"/>
    <sheet name="WorkArea" sheetId="4" state="hidden" r:id="rId2"/>
    <sheet name="DB" sheetId="5" r:id="rId3"/>
  </sheets>
  <definedNames>
    <definedName name="_xlnm._FilterDatabase" localSheetId="2" hidden="1">DB!$A$3:$BL$83</definedName>
    <definedName name="CompartmentTypes">WorkArea!$A$4:$A$14</definedName>
    <definedName name="CompressorType">WorkArea!$A$37:$A$39</definedName>
    <definedName name="f_Cons">Overview!$G$3</definedName>
    <definedName name="f_Cons2">Overview!#REF!</definedName>
    <definedName name="MaxClimateClass_Options">WorkArea!$A$22:$A$25</definedName>
    <definedName name="MinClimateClass_Options">WorkArea!$A$28:$A$30</definedName>
    <definedName name="Placement_options">WorkArea!$A$33:$A$34</definedName>
    <definedName name="YesNo">WorkArea!$A$17:$A$19</definedName>
  </definedNames>
  <calcPr calcId="145621"/>
</workbook>
</file>

<file path=xl/calcChain.xml><?xml version="1.0" encoding="utf-8"?>
<calcChain xmlns="http://schemas.openxmlformats.org/spreadsheetml/2006/main">
  <c r="AT50" i="5" l="1"/>
  <c r="CE12" i="5" l="1"/>
  <c r="BZ9" i="5"/>
  <c r="BZ8" i="5"/>
  <c r="BZ7" i="5"/>
  <c r="BZ6" i="5"/>
  <c r="BZ5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11" i="5"/>
  <c r="BZ62" i="5"/>
  <c r="BZ61" i="5"/>
  <c r="BZ50" i="5"/>
  <c r="BZ49" i="5"/>
  <c r="BZ47" i="5"/>
  <c r="BZ45" i="5"/>
  <c r="BZ44" i="5"/>
  <c r="BZ43" i="5"/>
  <c r="BZ42" i="5"/>
  <c r="BZ41" i="5"/>
  <c r="BZ40" i="5"/>
  <c r="BZ39" i="5"/>
  <c r="BZ38" i="5"/>
  <c r="BZ37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11" i="5"/>
  <c r="BS83" i="5" l="1"/>
  <c r="BN83" i="5"/>
  <c r="BG83" i="5"/>
  <c r="BH83" i="5" s="1"/>
  <c r="AR83" i="5"/>
  <c r="AQ83" i="5"/>
  <c r="AP83" i="5"/>
  <c r="BS82" i="5"/>
  <c r="BG82" i="5"/>
  <c r="BH82" i="5" s="1"/>
  <c r="AR82" i="5"/>
  <c r="AQ82" i="5"/>
  <c r="AP82" i="5"/>
  <c r="BS81" i="5"/>
  <c r="BQ81" i="5"/>
  <c r="BP81" i="5"/>
  <c r="BG80" i="5"/>
  <c r="BH80" i="5" s="1"/>
  <c r="AR80" i="5"/>
  <c r="AQ80" i="5"/>
  <c r="AP80" i="5"/>
  <c r="BS79" i="5"/>
  <c r="AT79" i="5"/>
  <c r="BG79" i="5" s="1"/>
  <c r="BH79" i="5" s="1"/>
  <c r="AR79" i="5"/>
  <c r="AQ79" i="5"/>
  <c r="AP79" i="5"/>
  <c r="BS78" i="5"/>
  <c r="BG78" i="5"/>
  <c r="BH78" i="5" s="1"/>
  <c r="AT78" i="5"/>
  <c r="AR78" i="5"/>
  <c r="AQ78" i="5"/>
  <c r="AP78" i="5"/>
  <c r="BS77" i="5"/>
  <c r="AT77" i="5"/>
  <c r="BG77" i="5" s="1"/>
  <c r="BH77" i="5" s="1"/>
  <c r="AR77" i="5"/>
  <c r="AQ77" i="5"/>
  <c r="AP77" i="5"/>
  <c r="BS76" i="5"/>
  <c r="BG76" i="5"/>
  <c r="BH76" i="5" s="1"/>
  <c r="AR76" i="5"/>
  <c r="AQ76" i="5"/>
  <c r="AP76" i="5"/>
  <c r="BS75" i="5"/>
  <c r="BN75" i="5"/>
  <c r="AT75" i="5"/>
  <c r="BG75" i="5" s="1"/>
  <c r="BH75" i="5" s="1"/>
  <c r="AR75" i="5"/>
  <c r="AQ75" i="5"/>
  <c r="AP75" i="5"/>
  <c r="BS74" i="5"/>
  <c r="AT74" i="5"/>
  <c r="BG74" i="5" s="1"/>
  <c r="BH74" i="5" s="1"/>
  <c r="AR74" i="5"/>
  <c r="AQ74" i="5"/>
  <c r="AP74" i="5"/>
  <c r="BS73" i="5"/>
  <c r="BG73" i="5"/>
  <c r="BH73" i="5" s="1"/>
  <c r="AR73" i="5"/>
  <c r="AQ73" i="5"/>
  <c r="AP73" i="5"/>
  <c r="BS72" i="5"/>
  <c r="AT72" i="5"/>
  <c r="BG72" i="5" s="1"/>
  <c r="BH72" i="5" s="1"/>
  <c r="AR72" i="5"/>
  <c r="AQ72" i="5"/>
  <c r="AP72" i="5"/>
  <c r="BS71" i="5"/>
  <c r="AT71" i="5"/>
  <c r="BG71" i="5" s="1"/>
  <c r="BH71" i="5" s="1"/>
  <c r="AR71" i="5"/>
  <c r="AQ71" i="5"/>
  <c r="AP71" i="5"/>
  <c r="BS70" i="5"/>
  <c r="AT70" i="5"/>
  <c r="BG70" i="5" s="1"/>
  <c r="BH70" i="5" s="1"/>
  <c r="AR70" i="5"/>
  <c r="AQ70" i="5"/>
  <c r="AP70" i="5"/>
  <c r="BS69" i="5"/>
  <c r="BQ69" i="5"/>
  <c r="BP69" i="5"/>
  <c r="BS68" i="5"/>
  <c r="BG68" i="5"/>
  <c r="BH68" i="5" s="1"/>
  <c r="AR68" i="5"/>
  <c r="AQ68" i="5"/>
  <c r="AP68" i="5"/>
  <c r="BS67" i="5"/>
  <c r="BG67" i="5"/>
  <c r="BH67" i="5" s="1"/>
  <c r="AR67" i="5"/>
  <c r="AQ67" i="5"/>
  <c r="AP67" i="5"/>
  <c r="BS66" i="5"/>
  <c r="BN66" i="5"/>
  <c r="BG66" i="5"/>
  <c r="BH66" i="5" s="1"/>
  <c r="AR66" i="5"/>
  <c r="AQ66" i="5"/>
  <c r="AP66" i="5"/>
  <c r="BS65" i="5"/>
  <c r="BG65" i="5"/>
  <c r="BH65" i="5" s="1"/>
  <c r="AR65" i="5"/>
  <c r="AQ65" i="5"/>
  <c r="AP65" i="5"/>
  <c r="BS64" i="5"/>
  <c r="BG64" i="5"/>
  <c r="BH64" i="5" s="1"/>
  <c r="AR64" i="5"/>
  <c r="AQ64" i="5"/>
  <c r="AP64" i="5"/>
  <c r="BS63" i="5"/>
  <c r="BQ63" i="5"/>
  <c r="BP63" i="5"/>
  <c r="BG62" i="5"/>
  <c r="BH62" i="5" s="1"/>
  <c r="AR62" i="5"/>
  <c r="AQ62" i="5"/>
  <c r="AP62" i="5"/>
  <c r="BG61" i="5"/>
  <c r="BH61" i="5" s="1"/>
  <c r="AR61" i="5"/>
  <c r="AQ61" i="5"/>
  <c r="AP61" i="5"/>
  <c r="BS60" i="5"/>
  <c r="BG60" i="5"/>
  <c r="BH60" i="5" s="1"/>
  <c r="AT60" i="5"/>
  <c r="BZ60" i="5" s="1"/>
  <c r="AR60" i="5"/>
  <c r="AQ60" i="5"/>
  <c r="AP60" i="5"/>
  <c r="BS59" i="5"/>
  <c r="AT59" i="5"/>
  <c r="BZ59" i="5" s="1"/>
  <c r="AR59" i="5"/>
  <c r="AQ59" i="5"/>
  <c r="AP59" i="5"/>
  <c r="BS58" i="5"/>
  <c r="AT58" i="5"/>
  <c r="BZ58" i="5" s="1"/>
  <c r="AR58" i="5"/>
  <c r="AQ58" i="5"/>
  <c r="AP58" i="5"/>
  <c r="BS57" i="5"/>
  <c r="AT57" i="5"/>
  <c r="BZ57" i="5" s="1"/>
  <c r="AR57" i="5"/>
  <c r="AQ57" i="5"/>
  <c r="AP57" i="5"/>
  <c r="BS56" i="5"/>
  <c r="BG56" i="5"/>
  <c r="BH56" i="5" s="1"/>
  <c r="AT56" i="5"/>
  <c r="BZ56" i="5" s="1"/>
  <c r="AR56" i="5"/>
  <c r="AQ56" i="5"/>
  <c r="AP56" i="5"/>
  <c r="BS55" i="5"/>
  <c r="AT55" i="5"/>
  <c r="BZ55" i="5" s="1"/>
  <c r="AR55" i="5"/>
  <c r="AQ55" i="5"/>
  <c r="AP55" i="5"/>
  <c r="BS54" i="5"/>
  <c r="BN54" i="5"/>
  <c r="AT54" i="5"/>
  <c r="BZ54" i="5" s="1"/>
  <c r="AR54" i="5"/>
  <c r="AQ54" i="5"/>
  <c r="AP54" i="5"/>
  <c r="BS53" i="5"/>
  <c r="AT53" i="5"/>
  <c r="BZ53" i="5" s="1"/>
  <c r="AR53" i="5"/>
  <c r="AQ53" i="5"/>
  <c r="AP53" i="5"/>
  <c r="BS52" i="5"/>
  <c r="AT52" i="5"/>
  <c r="BZ52" i="5" s="1"/>
  <c r="AR52" i="5"/>
  <c r="AQ52" i="5"/>
  <c r="AP52" i="5"/>
  <c r="BS51" i="5"/>
  <c r="BG51" i="5"/>
  <c r="BH51" i="5" s="1"/>
  <c r="AT51" i="5"/>
  <c r="BZ51" i="5" s="1"/>
  <c r="AR51" i="5"/>
  <c r="AQ51" i="5"/>
  <c r="AP51" i="5"/>
  <c r="BS50" i="5"/>
  <c r="BG50" i="5"/>
  <c r="BH50" i="5" s="1"/>
  <c r="AR50" i="5"/>
  <c r="AQ50" i="5"/>
  <c r="AP50" i="5"/>
  <c r="BS49" i="5"/>
  <c r="BG49" i="5"/>
  <c r="BH49" i="5" s="1"/>
  <c r="AR49" i="5"/>
  <c r="AQ49" i="5"/>
  <c r="AP49" i="5"/>
  <c r="BS48" i="5"/>
  <c r="BG48" i="5"/>
  <c r="BH48" i="5" s="1"/>
  <c r="AT48" i="5"/>
  <c r="BZ48" i="5" s="1"/>
  <c r="AR48" i="5"/>
  <c r="AQ48" i="5"/>
  <c r="AP48" i="5"/>
  <c r="BS47" i="5"/>
  <c r="BG47" i="5"/>
  <c r="BH47" i="5" s="1"/>
  <c r="AR47" i="5"/>
  <c r="AQ47" i="5"/>
  <c r="AP47" i="5"/>
  <c r="BS46" i="5"/>
  <c r="BQ46" i="5"/>
  <c r="BP46" i="5"/>
  <c r="BG45" i="5"/>
  <c r="BH45" i="5" s="1"/>
  <c r="AR45" i="5"/>
  <c r="AQ45" i="5"/>
  <c r="AP45" i="5"/>
  <c r="BS44" i="5"/>
  <c r="BG44" i="5"/>
  <c r="BH44" i="5" s="1"/>
  <c r="AR44" i="5"/>
  <c r="AQ44" i="5"/>
  <c r="AP44" i="5"/>
  <c r="BS43" i="5"/>
  <c r="BG43" i="5"/>
  <c r="BH43" i="5" s="1"/>
  <c r="AR43" i="5"/>
  <c r="AQ43" i="5"/>
  <c r="AP43" i="5"/>
  <c r="BS42" i="5"/>
  <c r="BG42" i="5"/>
  <c r="BH42" i="5" s="1"/>
  <c r="AR42" i="5"/>
  <c r="AQ42" i="5"/>
  <c r="AP42" i="5"/>
  <c r="BS41" i="5"/>
  <c r="BN41" i="5"/>
  <c r="BG41" i="5"/>
  <c r="BH41" i="5" s="1"/>
  <c r="AR41" i="5"/>
  <c r="AQ41" i="5"/>
  <c r="AP41" i="5"/>
  <c r="BS40" i="5"/>
  <c r="BG40" i="5"/>
  <c r="BH40" i="5" s="1"/>
  <c r="AR40" i="5"/>
  <c r="AQ40" i="5"/>
  <c r="AP40" i="5"/>
  <c r="BS39" i="5"/>
  <c r="BG39" i="5"/>
  <c r="BH39" i="5" s="1"/>
  <c r="AR39" i="5"/>
  <c r="AQ39" i="5"/>
  <c r="AP39" i="5"/>
  <c r="BS38" i="5"/>
  <c r="BG38" i="5"/>
  <c r="BH38" i="5" s="1"/>
  <c r="AR38" i="5"/>
  <c r="AQ38" i="5"/>
  <c r="AP38" i="5"/>
  <c r="BS37" i="5"/>
  <c r="BG37" i="5"/>
  <c r="BH37" i="5" s="1"/>
  <c r="AR37" i="5"/>
  <c r="AQ37" i="5"/>
  <c r="AP37" i="5"/>
  <c r="BS36" i="5"/>
  <c r="BQ36" i="5"/>
  <c r="BP36" i="5"/>
  <c r="BX35" i="5"/>
  <c r="BW35" i="5"/>
  <c r="BV35" i="5"/>
  <c r="BU35" i="5"/>
  <c r="CC35" i="5" s="1"/>
  <c r="BS35" i="5"/>
  <c r="BG35" i="5"/>
  <c r="BH35" i="5" s="1"/>
  <c r="AR35" i="5"/>
  <c r="AQ35" i="5"/>
  <c r="AP35" i="5"/>
  <c r="BX34" i="5"/>
  <c r="BW34" i="5"/>
  <c r="BV34" i="5"/>
  <c r="BU34" i="5"/>
  <c r="BS34" i="5"/>
  <c r="BG34" i="5"/>
  <c r="BH34" i="5" s="1"/>
  <c r="AR34" i="5"/>
  <c r="AQ34" i="5"/>
  <c r="AP34" i="5"/>
  <c r="BX33" i="5"/>
  <c r="BW33" i="5"/>
  <c r="BV33" i="5"/>
  <c r="BU33" i="5"/>
  <c r="CC33" i="5" s="1"/>
  <c r="BS33" i="5"/>
  <c r="BG33" i="5"/>
  <c r="BH33" i="5" s="1"/>
  <c r="AR33" i="5"/>
  <c r="AQ33" i="5"/>
  <c r="AP33" i="5"/>
  <c r="BX32" i="5"/>
  <c r="BW32" i="5"/>
  <c r="BV32" i="5"/>
  <c r="BU32" i="5"/>
  <c r="CC32" i="5" s="1"/>
  <c r="BS32" i="5"/>
  <c r="BG32" i="5"/>
  <c r="BH32" i="5" s="1"/>
  <c r="AR32" i="5"/>
  <c r="AQ32" i="5"/>
  <c r="AP32" i="5"/>
  <c r="BX31" i="5"/>
  <c r="BW31" i="5"/>
  <c r="BV31" i="5"/>
  <c r="BU31" i="5"/>
  <c r="BS31" i="5"/>
  <c r="BG31" i="5"/>
  <c r="BH31" i="5" s="1"/>
  <c r="AR31" i="5"/>
  <c r="AQ31" i="5"/>
  <c r="AP31" i="5"/>
  <c r="BX30" i="5"/>
  <c r="BW30" i="5"/>
  <c r="BV30" i="5"/>
  <c r="BU30" i="5"/>
  <c r="CC30" i="5" s="1"/>
  <c r="BS30" i="5"/>
  <c r="BG30" i="5"/>
  <c r="BH30" i="5" s="1"/>
  <c r="AR30" i="5"/>
  <c r="AQ30" i="5"/>
  <c r="AP30" i="5"/>
  <c r="BX29" i="5"/>
  <c r="BW29" i="5"/>
  <c r="BV29" i="5"/>
  <c r="BU29" i="5"/>
  <c r="CC29" i="5" s="1"/>
  <c r="BS29" i="5"/>
  <c r="BG29" i="5"/>
  <c r="BH29" i="5" s="1"/>
  <c r="AR29" i="5"/>
  <c r="AQ29" i="5"/>
  <c r="AP29" i="5"/>
  <c r="BX28" i="5"/>
  <c r="BW28" i="5"/>
  <c r="BV28" i="5"/>
  <c r="BU28" i="5"/>
  <c r="CC28" i="5" s="1"/>
  <c r="BS28" i="5"/>
  <c r="BG28" i="5"/>
  <c r="BH28" i="5" s="1"/>
  <c r="AR28" i="5"/>
  <c r="AQ28" i="5"/>
  <c r="AP28" i="5"/>
  <c r="BX27" i="5"/>
  <c r="BW27" i="5"/>
  <c r="BV27" i="5"/>
  <c r="BU27" i="5"/>
  <c r="CC27" i="5" s="1"/>
  <c r="BS27" i="5"/>
  <c r="BG27" i="5"/>
  <c r="BH27" i="5" s="1"/>
  <c r="AR27" i="5"/>
  <c r="AQ27" i="5"/>
  <c r="AP27" i="5"/>
  <c r="BX26" i="5"/>
  <c r="BW26" i="5"/>
  <c r="BV26" i="5"/>
  <c r="BU26" i="5"/>
  <c r="CC26" i="5" s="1"/>
  <c r="BS26" i="5"/>
  <c r="BG26" i="5"/>
  <c r="BH26" i="5" s="1"/>
  <c r="AR26" i="5"/>
  <c r="AQ26" i="5"/>
  <c r="AP26" i="5"/>
  <c r="BX25" i="5"/>
  <c r="BW25" i="5"/>
  <c r="BV25" i="5"/>
  <c r="BU25" i="5"/>
  <c r="CC25" i="5" s="1"/>
  <c r="BS25" i="5"/>
  <c r="BG25" i="5"/>
  <c r="BH25" i="5" s="1"/>
  <c r="AR25" i="5"/>
  <c r="AQ25" i="5"/>
  <c r="AP25" i="5"/>
  <c r="BX24" i="5"/>
  <c r="BW24" i="5"/>
  <c r="BV24" i="5"/>
  <c r="BU24" i="5"/>
  <c r="BS24" i="5"/>
  <c r="BG24" i="5"/>
  <c r="BH24" i="5" s="1"/>
  <c r="AR24" i="5"/>
  <c r="AQ24" i="5"/>
  <c r="AP24" i="5"/>
  <c r="BX23" i="5"/>
  <c r="BW23" i="5"/>
  <c r="BV23" i="5"/>
  <c r="BU23" i="5"/>
  <c r="BS23" i="5"/>
  <c r="BG23" i="5"/>
  <c r="BH23" i="5" s="1"/>
  <c r="AR23" i="5"/>
  <c r="AQ23" i="5"/>
  <c r="AP23" i="5"/>
  <c r="BX22" i="5"/>
  <c r="BW22" i="5"/>
  <c r="BV22" i="5"/>
  <c r="BU22" i="5"/>
  <c r="CC22" i="5" s="1"/>
  <c r="BS22" i="5"/>
  <c r="BN22" i="5"/>
  <c r="BG22" i="5"/>
  <c r="BH22" i="5" s="1"/>
  <c r="AR22" i="5"/>
  <c r="AQ22" i="5"/>
  <c r="AP22" i="5"/>
  <c r="BX21" i="5"/>
  <c r="BW21" i="5"/>
  <c r="BV21" i="5"/>
  <c r="BU21" i="5"/>
  <c r="BS21" i="5"/>
  <c r="BG21" i="5"/>
  <c r="BH21" i="5" s="1"/>
  <c r="AR21" i="5"/>
  <c r="AQ21" i="5"/>
  <c r="AP21" i="5"/>
  <c r="BX20" i="5"/>
  <c r="BW20" i="5"/>
  <c r="BV20" i="5"/>
  <c r="BU20" i="5"/>
  <c r="CC20" i="5" s="1"/>
  <c r="BS20" i="5"/>
  <c r="BG20" i="5"/>
  <c r="BH20" i="5" s="1"/>
  <c r="AR20" i="5"/>
  <c r="AQ20" i="5"/>
  <c r="AP20" i="5"/>
  <c r="BX19" i="5"/>
  <c r="BW19" i="5"/>
  <c r="BV19" i="5"/>
  <c r="BU19" i="5"/>
  <c r="CC19" i="5" s="1"/>
  <c r="BS19" i="5"/>
  <c r="BG19" i="5"/>
  <c r="BH19" i="5" s="1"/>
  <c r="AR19" i="5"/>
  <c r="AQ19" i="5"/>
  <c r="AP19" i="5"/>
  <c r="BX18" i="5"/>
  <c r="BW18" i="5"/>
  <c r="BV18" i="5"/>
  <c r="BU18" i="5"/>
  <c r="CC18" i="5" s="1"/>
  <c r="BS18" i="5"/>
  <c r="BG18" i="5"/>
  <c r="BH18" i="5" s="1"/>
  <c r="AR18" i="5"/>
  <c r="AQ18" i="5"/>
  <c r="AP18" i="5"/>
  <c r="BX17" i="5"/>
  <c r="BW17" i="5"/>
  <c r="BV17" i="5"/>
  <c r="BU17" i="5"/>
  <c r="CC17" i="5" s="1"/>
  <c r="BS17" i="5"/>
  <c r="BG17" i="5"/>
  <c r="BH17" i="5" s="1"/>
  <c r="AR17" i="5"/>
  <c r="AQ17" i="5"/>
  <c r="AP17" i="5"/>
  <c r="BX16" i="5"/>
  <c r="BW16" i="5"/>
  <c r="BV16" i="5"/>
  <c r="BU16" i="5"/>
  <c r="CC16" i="5" s="1"/>
  <c r="BS16" i="5"/>
  <c r="BG16" i="5"/>
  <c r="BH16" i="5" s="1"/>
  <c r="AR16" i="5"/>
  <c r="AQ16" i="5"/>
  <c r="AP16" i="5"/>
  <c r="BX15" i="5"/>
  <c r="BW15" i="5"/>
  <c r="BV15" i="5"/>
  <c r="BU15" i="5"/>
  <c r="BS15" i="5"/>
  <c r="BG15" i="5"/>
  <c r="BH15" i="5" s="1"/>
  <c r="AR15" i="5"/>
  <c r="AQ15" i="5"/>
  <c r="AP15" i="5"/>
  <c r="U15" i="5"/>
  <c r="BX14" i="5"/>
  <c r="BW14" i="5"/>
  <c r="BV14" i="5"/>
  <c r="BU14" i="5"/>
  <c r="CC14" i="5" s="1"/>
  <c r="BS14" i="5"/>
  <c r="BG14" i="5"/>
  <c r="BH14" i="5" s="1"/>
  <c r="AR14" i="5"/>
  <c r="AQ14" i="5"/>
  <c r="AP14" i="5"/>
  <c r="BX13" i="5"/>
  <c r="BW13" i="5"/>
  <c r="BV13" i="5"/>
  <c r="BU13" i="5"/>
  <c r="CC13" i="5" s="1"/>
  <c r="BS13" i="5"/>
  <c r="BG13" i="5"/>
  <c r="BH13" i="5" s="1"/>
  <c r="AR13" i="5"/>
  <c r="AQ13" i="5"/>
  <c r="AP13" i="5"/>
  <c r="BX12" i="5"/>
  <c r="BW12" i="5"/>
  <c r="BV12" i="5"/>
  <c r="BU12" i="5"/>
  <c r="CC12" i="5" s="1"/>
  <c r="BS12" i="5"/>
  <c r="BG12" i="5"/>
  <c r="BH12" i="5" s="1"/>
  <c r="AR12" i="5"/>
  <c r="AQ12" i="5"/>
  <c r="AP12" i="5"/>
  <c r="BX11" i="5"/>
  <c r="BW11" i="5"/>
  <c r="BV11" i="5"/>
  <c r="BU11" i="5"/>
  <c r="BS11" i="5"/>
  <c r="BG11" i="5"/>
  <c r="BH11" i="5" s="1"/>
  <c r="AR11" i="5"/>
  <c r="AQ11" i="5"/>
  <c r="AP11" i="5"/>
  <c r="BS10" i="5"/>
  <c r="BQ10" i="5"/>
  <c r="BP10" i="5"/>
  <c r="BS9" i="5"/>
  <c r="BG9" i="5"/>
  <c r="BH9" i="5" s="1"/>
  <c r="AR9" i="5"/>
  <c r="AQ9" i="5"/>
  <c r="AP9" i="5"/>
  <c r="BS8" i="5"/>
  <c r="BG8" i="5"/>
  <c r="BH8" i="5" s="1"/>
  <c r="AR8" i="5"/>
  <c r="AQ8" i="5"/>
  <c r="AP8" i="5"/>
  <c r="BS7" i="5"/>
  <c r="BN7" i="5"/>
  <c r="BG7" i="5"/>
  <c r="BH7" i="5" s="1"/>
  <c r="AR7" i="5"/>
  <c r="AQ7" i="5"/>
  <c r="AP7" i="5"/>
  <c r="BS6" i="5"/>
  <c r="BG6" i="5"/>
  <c r="BH6" i="5" s="1"/>
  <c r="AR6" i="5"/>
  <c r="AQ6" i="5"/>
  <c r="AP6" i="5"/>
  <c r="BS5" i="5"/>
  <c r="BG5" i="5"/>
  <c r="BH5" i="5" s="1"/>
  <c r="AR5" i="5"/>
  <c r="AQ5" i="5"/>
  <c r="AP5" i="5"/>
  <c r="BS4" i="5"/>
  <c r="BQ4" i="5"/>
  <c r="BP4" i="5"/>
  <c r="BI1" i="5"/>
  <c r="BH1" i="5"/>
  <c r="V40" i="2"/>
  <c r="U40" i="2"/>
  <c r="T40" i="2"/>
  <c r="S40" i="2"/>
  <c r="V39" i="2"/>
  <c r="U39" i="2"/>
  <c r="T39" i="2"/>
  <c r="S39" i="2"/>
  <c r="V38" i="2"/>
  <c r="U38" i="2"/>
  <c r="T38" i="2"/>
  <c r="S38" i="2"/>
  <c r="V37" i="2"/>
  <c r="U37" i="2"/>
  <c r="T37" i="2"/>
  <c r="S37" i="2"/>
  <c r="V36" i="2"/>
  <c r="U36" i="2"/>
  <c r="T36" i="2"/>
  <c r="S36" i="2"/>
  <c r="V35" i="2"/>
  <c r="U35" i="2"/>
  <c r="T35" i="2"/>
  <c r="S35" i="2"/>
  <c r="V34" i="2"/>
  <c r="U34" i="2"/>
  <c r="T34" i="2"/>
  <c r="S34" i="2"/>
  <c r="V33" i="2"/>
  <c r="U33" i="2"/>
  <c r="T33" i="2"/>
  <c r="S33" i="2"/>
  <c r="V32" i="2"/>
  <c r="U32" i="2"/>
  <c r="T32" i="2"/>
  <c r="S32" i="2"/>
  <c r="V31" i="2"/>
  <c r="U31" i="2"/>
  <c r="T31" i="2"/>
  <c r="S31" i="2"/>
  <c r="V30" i="2"/>
  <c r="U30" i="2"/>
  <c r="T30" i="2"/>
  <c r="S30" i="2"/>
  <c r="V29" i="2"/>
  <c r="U29" i="2"/>
  <c r="T29" i="2"/>
  <c r="S29" i="2"/>
  <c r="V28" i="2"/>
  <c r="U28" i="2"/>
  <c r="T28" i="2"/>
  <c r="S28" i="2"/>
  <c r="V27" i="2"/>
  <c r="U27" i="2"/>
  <c r="T27" i="2"/>
  <c r="S27" i="2"/>
  <c r="V26" i="2"/>
  <c r="U26" i="2"/>
  <c r="T26" i="2"/>
  <c r="S26" i="2"/>
  <c r="V25" i="2"/>
  <c r="U25" i="2"/>
  <c r="T25" i="2"/>
  <c r="S25" i="2"/>
  <c r="U24" i="2"/>
  <c r="T24" i="2"/>
  <c r="S24" i="2"/>
  <c r="U23" i="2"/>
  <c r="T23" i="2"/>
  <c r="S23" i="2"/>
  <c r="U22" i="2"/>
  <c r="T22" i="2"/>
  <c r="S22" i="2"/>
  <c r="U21" i="2"/>
  <c r="T21" i="2"/>
  <c r="S21" i="2"/>
  <c r="U20" i="2"/>
  <c r="T20" i="2"/>
  <c r="S20" i="2"/>
  <c r="U19" i="2"/>
  <c r="T19" i="2"/>
  <c r="S19" i="2"/>
  <c r="U18" i="2"/>
  <c r="T18" i="2"/>
  <c r="S18" i="2"/>
  <c r="U17" i="2"/>
  <c r="T17" i="2"/>
  <c r="S17" i="2"/>
  <c r="U16" i="2"/>
  <c r="T16" i="2"/>
  <c r="S16" i="2"/>
  <c r="U15" i="2"/>
  <c r="T15" i="2"/>
  <c r="S15" i="2"/>
  <c r="U14" i="2"/>
  <c r="T14" i="2"/>
  <c r="S14" i="2"/>
  <c r="U13" i="2"/>
  <c r="T13" i="2"/>
  <c r="S13" i="2"/>
  <c r="U12" i="2"/>
  <c r="T12" i="2"/>
  <c r="S12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G6" i="2"/>
  <c r="U5" i="2"/>
  <c r="T5" i="2"/>
  <c r="S5" i="2"/>
  <c r="G5" i="2"/>
  <c r="G4" i="2"/>
  <c r="H3" i="2"/>
  <c r="Y2" i="2"/>
  <c r="Y40" i="2" s="1"/>
  <c r="Z40" i="2" s="1"/>
  <c r="V2" i="2"/>
  <c r="W40" i="2" s="1"/>
  <c r="X40" i="2" s="1"/>
  <c r="AL70" i="5"/>
  <c r="AA53" i="5"/>
  <c r="AJ40" i="5"/>
  <c r="AG35" i="5"/>
  <c r="AA20" i="5"/>
  <c r="AA27" i="5"/>
  <c r="AJ13" i="5"/>
  <c r="AL45" i="5"/>
  <c r="AL59" i="5"/>
  <c r="AB37" i="5"/>
  <c r="Z65" i="5"/>
  <c r="AK6" i="5"/>
  <c r="AB6" i="5"/>
  <c r="AJ22" i="5"/>
  <c r="AH34" i="5"/>
  <c r="AG9" i="5"/>
  <c r="AG24" i="5"/>
  <c r="AK82" i="5"/>
  <c r="AB24" i="5"/>
  <c r="AJ23" i="5"/>
  <c r="AG27" i="5"/>
  <c r="AG70" i="5"/>
  <c r="Z32" i="5"/>
  <c r="AH76" i="5"/>
  <c r="AG13" i="5"/>
  <c r="AB14" i="5"/>
  <c r="AH18" i="5"/>
  <c r="AH59" i="5"/>
  <c r="AJ70" i="5"/>
  <c r="AB52" i="5"/>
  <c r="AG60" i="5"/>
  <c r="AK15" i="5"/>
  <c r="AG48" i="5"/>
  <c r="AL27" i="5"/>
  <c r="AK48" i="5"/>
  <c r="Z39" i="5"/>
  <c r="Z26" i="5"/>
  <c r="AL14" i="5"/>
  <c r="AH72" i="5"/>
  <c r="Z37" i="5"/>
  <c r="AK68" i="5"/>
  <c r="AA19" i="5"/>
  <c r="AG34" i="5"/>
  <c r="AB66" i="5"/>
  <c r="AA45" i="5"/>
  <c r="AL28" i="5"/>
  <c r="Z11" i="5"/>
  <c r="AH58" i="5"/>
  <c r="AH75" i="5"/>
  <c r="AB30" i="5"/>
  <c r="AK20" i="5"/>
  <c r="AK57" i="5"/>
  <c r="AB45" i="5"/>
  <c r="AJ45" i="5"/>
  <c r="AG41" i="5"/>
  <c r="AL33" i="5"/>
  <c r="AA71" i="5"/>
  <c r="AH17" i="5"/>
  <c r="AA44" i="5"/>
  <c r="AL49" i="5"/>
  <c r="AL56" i="5"/>
  <c r="Z83" i="5"/>
  <c r="AA65" i="5"/>
  <c r="AA40" i="5"/>
  <c r="AH20" i="5"/>
  <c r="AH77" i="5"/>
  <c r="AK65" i="5"/>
  <c r="AG83" i="5"/>
  <c r="Z23" i="5"/>
  <c r="AB62" i="5"/>
  <c r="AH33" i="5"/>
  <c r="AG38" i="5"/>
  <c r="AA5" i="5"/>
  <c r="Z75" i="5"/>
  <c r="AB19" i="5"/>
  <c r="Z53" i="5"/>
  <c r="AK60" i="5"/>
  <c r="AL67" i="5"/>
  <c r="AJ75" i="5"/>
  <c r="AH5" i="5"/>
  <c r="AL5" i="5"/>
  <c r="AK30" i="5"/>
  <c r="AG18" i="5"/>
  <c r="AG33" i="5"/>
  <c r="AA13" i="5"/>
  <c r="AJ71" i="5"/>
  <c r="AJ34" i="5"/>
  <c r="AK49" i="5"/>
  <c r="Z64" i="5"/>
  <c r="AK37" i="5"/>
  <c r="Z29" i="5"/>
  <c r="AB73" i="5"/>
  <c r="AB35" i="5"/>
  <c r="Z66" i="5"/>
  <c r="AA26" i="5"/>
  <c r="AL30" i="5"/>
  <c r="AB77" i="5"/>
  <c r="AK17" i="5"/>
  <c r="AH43" i="5"/>
  <c r="AA15" i="5"/>
  <c r="AA7" i="5"/>
  <c r="AL82" i="5"/>
  <c r="AK58" i="5"/>
  <c r="AL83" i="5"/>
  <c r="AA37" i="5"/>
  <c r="AA78" i="5"/>
  <c r="AJ25" i="5"/>
  <c r="Z8" i="5"/>
  <c r="AK8" i="5"/>
  <c r="Z44" i="5"/>
  <c r="AK24" i="5"/>
  <c r="AH32" i="5"/>
  <c r="AL42" i="5"/>
  <c r="AK42" i="5"/>
  <c r="AG61" i="5"/>
  <c r="AB13" i="5"/>
  <c r="AG19" i="5"/>
  <c r="AJ48" i="5"/>
  <c r="AH8" i="5"/>
  <c r="AH57" i="5"/>
  <c r="AL41" i="5"/>
  <c r="AA31" i="5"/>
  <c r="Z31" i="5"/>
  <c r="AB16" i="5"/>
  <c r="AJ31" i="5"/>
  <c r="AK51" i="5"/>
  <c r="AJ61" i="5"/>
  <c r="AH38" i="5"/>
  <c r="AA82" i="5"/>
  <c r="Z80" i="5"/>
  <c r="AG14" i="5"/>
  <c r="AL9" i="5"/>
  <c r="AH71" i="5"/>
  <c r="Z71" i="5"/>
  <c r="AB74" i="5"/>
  <c r="AG25" i="5"/>
  <c r="AB61" i="5"/>
  <c r="AJ39" i="5"/>
  <c r="AK9" i="5"/>
  <c r="Z77" i="5"/>
  <c r="AB9" i="5"/>
  <c r="Z70" i="5"/>
  <c r="AH12" i="5"/>
  <c r="AG67" i="5"/>
  <c r="Z74" i="5"/>
  <c r="Z43" i="5"/>
  <c r="AG68" i="5"/>
  <c r="AH22" i="5"/>
  <c r="AB5" i="5"/>
  <c r="AK43" i="5"/>
  <c r="Z79" i="5"/>
  <c r="AG43" i="5"/>
  <c r="AH60" i="5"/>
  <c r="AH25" i="5"/>
  <c r="AA6" i="5"/>
  <c r="AA61" i="5"/>
  <c r="AG79" i="5"/>
  <c r="AH28" i="5"/>
  <c r="AJ60" i="5"/>
  <c r="AJ74" i="5"/>
  <c r="AG21" i="5"/>
  <c r="AL48" i="5"/>
  <c r="AL13" i="5"/>
  <c r="AJ30" i="5"/>
  <c r="Z58" i="5"/>
  <c r="AA33" i="5"/>
  <c r="AL58" i="5"/>
  <c r="AH31" i="5"/>
  <c r="Z27" i="5"/>
  <c r="AG22" i="5"/>
  <c r="Z6" i="5"/>
  <c r="AB53" i="5"/>
  <c r="AA56" i="5"/>
  <c r="AG73" i="5"/>
  <c r="AH82" i="5"/>
  <c r="AA60" i="5"/>
  <c r="Z57" i="5"/>
  <c r="AJ73" i="5"/>
  <c r="AG11" i="5"/>
  <c r="AA58" i="5"/>
  <c r="AB29" i="5"/>
  <c r="Z76" i="5"/>
  <c r="AK54" i="5"/>
  <c r="AL20" i="5"/>
  <c r="Z40" i="5"/>
  <c r="AL51" i="5"/>
  <c r="AL6" i="5"/>
  <c r="AH55" i="5"/>
  <c r="AH7" i="5"/>
  <c r="AJ53" i="5"/>
  <c r="AJ56" i="5"/>
  <c r="AK45" i="5"/>
  <c r="AJ51" i="5"/>
  <c r="AG30" i="5"/>
  <c r="AK47" i="5"/>
  <c r="AH35" i="5"/>
  <c r="AL17" i="5"/>
  <c r="Z9" i="5"/>
  <c r="AB33" i="5"/>
  <c r="AA79" i="5"/>
  <c r="AA50" i="5"/>
  <c r="AJ14" i="5"/>
  <c r="Z52" i="5"/>
  <c r="AB39" i="5"/>
  <c r="AK27" i="5"/>
  <c r="AA16" i="5"/>
  <c r="Z49" i="5"/>
  <c r="AK56" i="5"/>
  <c r="AA22" i="5"/>
  <c r="AK52" i="5"/>
  <c r="AA62" i="5"/>
  <c r="AA59" i="5"/>
  <c r="AJ52" i="5"/>
  <c r="AH79" i="5"/>
  <c r="AA48" i="5"/>
  <c r="AJ26" i="5"/>
  <c r="AB42" i="5"/>
  <c r="AG71" i="5"/>
  <c r="AL26" i="5"/>
  <c r="Z54" i="5"/>
  <c r="AJ28" i="5"/>
  <c r="AA75" i="5"/>
  <c r="AK13" i="5"/>
  <c r="AJ44" i="5"/>
  <c r="AG28" i="5"/>
  <c r="AH27" i="5"/>
  <c r="AJ49" i="5"/>
  <c r="AG7" i="5"/>
  <c r="AL18" i="5"/>
  <c r="AH65" i="5"/>
  <c r="AK38" i="5"/>
  <c r="AH61" i="5"/>
  <c r="AJ29" i="5"/>
  <c r="AB82" i="5"/>
  <c r="AB76" i="5"/>
  <c r="AA80" i="5"/>
  <c r="Z51" i="5"/>
  <c r="Z60" i="5"/>
  <c r="AK71" i="5"/>
  <c r="AJ11" i="5"/>
  <c r="AJ55" i="5"/>
  <c r="Z28" i="5"/>
  <c r="AG82" i="5"/>
  <c r="AH29" i="5"/>
  <c r="AB64" i="5"/>
  <c r="AK16" i="5"/>
  <c r="AB21" i="5"/>
  <c r="AH51" i="5"/>
  <c r="AK18" i="5"/>
  <c r="AB72" i="5"/>
  <c r="AH53" i="5"/>
  <c r="AA14" i="5"/>
  <c r="AL52" i="5"/>
  <c r="AL68" i="5"/>
  <c r="AL21" i="5"/>
  <c r="AB57" i="5"/>
  <c r="Z24" i="5"/>
  <c r="AJ76" i="5"/>
  <c r="AG66" i="5"/>
  <c r="AL19" i="5"/>
  <c r="AH44" i="5"/>
  <c r="AJ78" i="5"/>
  <c r="AL38" i="5"/>
  <c r="AB8" i="5"/>
  <c r="Z14" i="5"/>
  <c r="AH13" i="5"/>
  <c r="AH6" i="5"/>
  <c r="AH56" i="5"/>
  <c r="AB79" i="5"/>
  <c r="AB7" i="5"/>
  <c r="Z72" i="5"/>
  <c r="AH67" i="5"/>
  <c r="AL57" i="5"/>
  <c r="AH66" i="5"/>
  <c r="AJ82" i="5"/>
  <c r="AJ16" i="5"/>
  <c r="AJ67" i="5"/>
  <c r="AK23" i="5"/>
  <c r="AK35" i="5"/>
  <c r="AA28" i="5"/>
  <c r="AH48" i="5"/>
  <c r="AK33" i="5"/>
  <c r="AA18" i="5"/>
  <c r="AG31" i="5"/>
  <c r="AL50" i="5"/>
  <c r="AB11" i="5"/>
  <c r="AJ32" i="5"/>
  <c r="AK41" i="5"/>
  <c r="AG49" i="5"/>
  <c r="AK14" i="5"/>
  <c r="AK53" i="5"/>
  <c r="AJ72" i="5"/>
  <c r="Z55" i="5"/>
  <c r="AA9" i="5"/>
  <c r="AB47" i="5"/>
  <c r="AL44" i="5"/>
  <c r="AH37" i="5"/>
  <c r="AK73" i="5"/>
  <c r="AG40" i="5"/>
  <c r="AJ33" i="5"/>
  <c r="AJ6" i="5"/>
  <c r="AJ20" i="5"/>
  <c r="AA11" i="5"/>
  <c r="AA8" i="5"/>
  <c r="AH23" i="5"/>
  <c r="AJ17" i="5"/>
  <c r="AJ5" i="5"/>
  <c r="AK72" i="5"/>
  <c r="AG23" i="5"/>
  <c r="AJ15" i="5"/>
  <c r="AL7" i="5"/>
  <c r="AJ12" i="5"/>
  <c r="AG74" i="5"/>
  <c r="AB27" i="5"/>
  <c r="AL23" i="5"/>
  <c r="AL34" i="5"/>
  <c r="AH41" i="5"/>
  <c r="AK66" i="5"/>
  <c r="Z17" i="5"/>
  <c r="AL29" i="5"/>
  <c r="Z13" i="5"/>
  <c r="AA51" i="5"/>
  <c r="AG51" i="5"/>
  <c r="AK64" i="5"/>
  <c r="AB49" i="5"/>
  <c r="AB44" i="5"/>
  <c r="AK61" i="5"/>
  <c r="AK26" i="5"/>
  <c r="Z82" i="5"/>
  <c r="AH30" i="5"/>
  <c r="AB18" i="5"/>
  <c r="AL39" i="5"/>
  <c r="AA72" i="5"/>
  <c r="AG42" i="5"/>
  <c r="AB12" i="5"/>
  <c r="AL40" i="5"/>
  <c r="AH39" i="5"/>
  <c r="AH21" i="5"/>
  <c r="AL12" i="5"/>
  <c r="AG44" i="5"/>
  <c r="AA25" i="5"/>
  <c r="AJ41" i="5"/>
  <c r="AJ66" i="5"/>
  <c r="AH62" i="5"/>
  <c r="AA73" i="5"/>
  <c r="AG20" i="5"/>
  <c r="Z20" i="5"/>
  <c r="AB23" i="5"/>
  <c r="AG47" i="5"/>
  <c r="AH11" i="5"/>
  <c r="AJ77" i="5"/>
  <c r="Z62" i="5"/>
  <c r="AA70" i="5"/>
  <c r="AL72" i="5"/>
  <c r="AJ37" i="5"/>
  <c r="AG80" i="5"/>
  <c r="AA43" i="5"/>
  <c r="AJ9" i="5"/>
  <c r="AB59" i="5"/>
  <c r="AH40" i="5"/>
  <c r="AL53" i="5"/>
  <c r="AL16" i="5"/>
  <c r="AJ50" i="5"/>
  <c r="AK32" i="5"/>
  <c r="AA83" i="5"/>
  <c r="AJ18" i="5"/>
  <c r="Z38" i="5"/>
  <c r="AK44" i="5"/>
  <c r="AH54" i="5"/>
  <c r="AB22" i="5"/>
  <c r="AB83" i="5"/>
  <c r="AB25" i="5"/>
  <c r="AJ27" i="5"/>
  <c r="Z47" i="5"/>
  <c r="AK22" i="5"/>
  <c r="AG37" i="5"/>
  <c r="AB26" i="5"/>
  <c r="AL15" i="5"/>
  <c r="Z41" i="5"/>
  <c r="AK28" i="5"/>
  <c r="AA30" i="5"/>
  <c r="AG72" i="5"/>
  <c r="AK7" i="5"/>
  <c r="AH73" i="5"/>
  <c r="AJ64" i="5"/>
  <c r="AA34" i="5"/>
  <c r="AK29" i="5"/>
  <c r="Z16" i="5"/>
  <c r="AA29" i="5"/>
  <c r="AB17" i="5"/>
  <c r="AL62" i="5"/>
  <c r="AL65" i="5"/>
  <c r="AA47" i="5"/>
  <c r="AG53" i="5"/>
  <c r="AG29" i="5"/>
  <c r="AJ83" i="5"/>
  <c r="Z50" i="5"/>
  <c r="AJ58" i="5"/>
  <c r="AH16" i="5"/>
  <c r="AB28" i="5"/>
  <c r="AA21" i="5"/>
  <c r="AJ21" i="5"/>
  <c r="AJ43" i="5"/>
  <c r="AB75" i="5"/>
  <c r="AJ59" i="5"/>
  <c r="AB65" i="5"/>
  <c r="AA17" i="5"/>
  <c r="AB41" i="5"/>
  <c r="Z5" i="5"/>
  <c r="AB54" i="5"/>
  <c r="AJ65" i="5"/>
  <c r="AA41" i="5"/>
  <c r="AL66" i="5"/>
  <c r="AB34" i="5"/>
  <c r="AH83" i="5"/>
  <c r="AJ62" i="5"/>
  <c r="AG57" i="5"/>
  <c r="AK39" i="5"/>
  <c r="AL47" i="5"/>
  <c r="AA35" i="5"/>
  <c r="AA55" i="5"/>
  <c r="AB58" i="5"/>
  <c r="AH45" i="5"/>
  <c r="AJ19" i="5"/>
  <c r="AB56" i="5"/>
  <c r="AG6" i="5"/>
  <c r="AH80" i="5"/>
  <c r="Z78" i="5"/>
  <c r="AL32" i="5"/>
  <c r="Z61" i="5"/>
  <c r="AA54" i="5"/>
  <c r="AB80" i="5"/>
  <c r="AK11" i="5"/>
  <c r="AA39" i="5"/>
  <c r="AJ24" i="5"/>
  <c r="AG62" i="5"/>
  <c r="AJ57" i="5"/>
  <c r="AL11" i="5"/>
  <c r="AH64" i="5"/>
  <c r="AA74" i="5"/>
  <c r="AA76" i="5"/>
  <c r="AK34" i="5"/>
  <c r="AH78" i="5"/>
  <c r="AB32" i="5"/>
  <c r="AB51" i="5"/>
  <c r="AA49" i="5"/>
  <c r="AL54" i="5"/>
  <c r="AG52" i="5"/>
  <c r="AA38" i="5"/>
  <c r="Z25" i="5"/>
  <c r="AJ54" i="5"/>
  <c r="AH42" i="5"/>
  <c r="AB70" i="5"/>
  <c r="AL31" i="5"/>
  <c r="AB48" i="5"/>
  <c r="AG5" i="5"/>
  <c r="AL61" i="5"/>
  <c r="AG56" i="5"/>
  <c r="Z35" i="5"/>
  <c r="AH68" i="5"/>
  <c r="AB55" i="5"/>
  <c r="AB78" i="5"/>
  <c r="AK50" i="5"/>
  <c r="AJ79" i="5"/>
  <c r="AB15" i="5"/>
  <c r="AA23" i="5"/>
  <c r="AJ7" i="5"/>
  <c r="AL35" i="5"/>
  <c r="AB50" i="5"/>
  <c r="AG17" i="5"/>
  <c r="AK25" i="5"/>
  <c r="AH24" i="5"/>
  <c r="AG78" i="5"/>
  <c r="AA77" i="5"/>
  <c r="AK83" i="5"/>
  <c r="AA12" i="5"/>
  <c r="AA66" i="5"/>
  <c r="AJ38" i="5"/>
  <c r="Z15" i="5"/>
  <c r="AG64" i="5"/>
  <c r="AL60" i="5"/>
  <c r="AK70" i="5"/>
  <c r="AH15" i="5"/>
  <c r="AK12" i="5"/>
  <c r="AL24" i="5"/>
  <c r="AG59" i="5"/>
  <c r="AA32" i="5"/>
  <c r="AG45" i="5"/>
  <c r="AL64" i="5"/>
  <c r="AG39" i="5"/>
  <c r="AL55" i="5"/>
  <c r="AL8" i="5"/>
  <c r="AJ47" i="5"/>
  <c r="AK55" i="5"/>
  <c r="AH14" i="5"/>
  <c r="AK59" i="5"/>
  <c r="AK62" i="5"/>
  <c r="AG16" i="5"/>
  <c r="AK19" i="5"/>
  <c r="AG54" i="5"/>
  <c r="Z12" i="5"/>
  <c r="AB20" i="5"/>
  <c r="AJ8" i="5"/>
  <c r="AH9" i="5"/>
  <c r="AG77" i="5"/>
  <c r="AJ80" i="5"/>
  <c r="AK5" i="5"/>
  <c r="AL73" i="5"/>
  <c r="AK31" i="5"/>
  <c r="AG55" i="5"/>
  <c r="AJ35" i="5"/>
  <c r="AK40" i="5"/>
  <c r="AB31" i="5"/>
  <c r="AH70" i="5"/>
  <c r="AH52" i="5"/>
  <c r="AB38" i="5"/>
  <c r="AG8" i="5"/>
  <c r="Z56" i="5"/>
  <c r="AH26" i="5"/>
  <c r="AL22" i="5"/>
  <c r="AG75" i="5"/>
  <c r="AH74" i="5"/>
  <c r="AL43" i="5"/>
  <c r="AL37" i="5"/>
  <c r="AG15" i="5"/>
  <c r="AH49" i="5"/>
  <c r="AG12" i="5"/>
  <c r="AB43" i="5"/>
  <c r="Z34" i="5"/>
  <c r="AH47" i="5"/>
  <c r="Z21" i="5"/>
  <c r="AJ42" i="5"/>
  <c r="AA42" i="5"/>
  <c r="AA24" i="5"/>
  <c r="AB60" i="5"/>
  <c r="AG32" i="5"/>
  <c r="Z7" i="5"/>
  <c r="AH50" i="5"/>
  <c r="AG50" i="5"/>
  <c r="AG26" i="5"/>
  <c r="AH19" i="5"/>
  <c r="AG76" i="5"/>
  <c r="AK21" i="5"/>
  <c r="AL25" i="5"/>
  <c r="AA64" i="5"/>
  <c r="AB71" i="5"/>
  <c r="AL71" i="5"/>
  <c r="AJ68" i="5"/>
  <c r="Z73" i="5"/>
  <c r="Z22" i="5"/>
  <c r="Z42" i="5"/>
  <c r="Z59" i="5"/>
  <c r="Z33" i="5"/>
  <c r="Z19" i="5"/>
  <c r="Z45" i="5"/>
  <c r="Z18" i="5"/>
  <c r="AA52" i="5"/>
  <c r="Z30" i="5"/>
  <c r="AB40" i="5"/>
  <c r="Z48" i="5"/>
  <c r="AG58" i="5"/>
  <c r="AA57" i="5"/>
  <c r="AG65" i="5"/>
  <c r="AK67" i="5"/>
  <c r="BI67" i="5"/>
  <c r="BI14" i="5"/>
  <c r="BK12" i="5"/>
  <c r="BK49" i="5"/>
  <c r="BI22" i="5"/>
  <c r="BK83" i="5"/>
  <c r="BI25" i="5"/>
  <c r="BI83" i="5"/>
  <c r="BI15" i="5"/>
  <c r="BK74" i="5"/>
  <c r="BK14" i="5"/>
  <c r="BK21" i="5"/>
  <c r="BI59" i="5"/>
  <c r="BI26" i="5"/>
  <c r="BI57" i="5"/>
  <c r="BI72" i="5"/>
  <c r="BI79" i="5"/>
  <c r="BI42" i="5"/>
  <c r="BI49" i="5"/>
  <c r="BK60" i="5"/>
  <c r="BI53" i="5"/>
  <c r="BI34" i="5"/>
  <c r="BI78" i="5"/>
  <c r="BI82" i="5"/>
  <c r="BI9" i="5"/>
  <c r="BK35" i="5"/>
  <c r="BI61" i="5"/>
  <c r="BI76" i="5"/>
  <c r="BK56" i="5"/>
  <c r="BI71" i="5"/>
  <c r="BI58" i="5"/>
  <c r="BK6" i="5"/>
  <c r="BK67" i="5"/>
  <c r="BK41" i="5"/>
  <c r="BI43" i="5"/>
  <c r="BK80" i="5"/>
  <c r="BI80" i="5"/>
  <c r="BI6" i="5"/>
  <c r="BI73" i="5"/>
  <c r="BI21" i="5"/>
  <c r="BK78" i="5"/>
  <c r="BK5" i="5"/>
  <c r="BI40" i="5"/>
  <c r="BI27" i="5"/>
  <c r="BI64" i="5"/>
  <c r="BK28" i="5"/>
  <c r="BK15" i="5"/>
  <c r="BK29" i="5"/>
  <c r="BI13" i="5"/>
  <c r="BI62" i="5"/>
  <c r="BI65" i="5"/>
  <c r="BI60" i="5"/>
  <c r="BI48" i="5"/>
  <c r="BI56" i="5"/>
  <c r="BI23" i="5"/>
  <c r="BK20" i="5"/>
  <c r="BK19" i="5"/>
  <c r="BI75" i="5"/>
  <c r="BK44" i="5"/>
  <c r="BI66" i="5"/>
  <c r="BI11" i="5"/>
  <c r="BI33" i="5"/>
  <c r="BK68" i="5"/>
  <c r="BK43" i="5"/>
  <c r="BI7" i="5"/>
  <c r="BI17" i="5"/>
  <c r="BI35" i="5"/>
  <c r="BI18" i="5"/>
  <c r="BI30" i="5"/>
  <c r="BI24" i="5"/>
  <c r="BK26" i="5"/>
  <c r="BI29" i="5"/>
  <c r="BK8" i="5"/>
  <c r="BK62" i="5"/>
  <c r="BK48" i="5"/>
  <c r="BI44" i="5"/>
  <c r="BI31" i="5"/>
  <c r="BK7" i="5"/>
  <c r="BI5" i="5"/>
  <c r="BK77" i="5"/>
  <c r="BK38" i="5"/>
  <c r="BI39" i="5"/>
  <c r="BK75" i="5"/>
  <c r="BK27" i="5"/>
  <c r="BI52" i="5"/>
  <c r="BI77" i="5"/>
  <c r="BI38" i="5"/>
  <c r="BK34" i="5"/>
  <c r="BI16" i="5"/>
  <c r="BK40" i="5"/>
  <c r="BI19" i="5"/>
  <c r="BI47" i="5"/>
  <c r="BI41" i="5"/>
  <c r="BK13" i="5"/>
  <c r="BK30" i="5"/>
  <c r="BI28" i="5"/>
  <c r="BI45" i="5"/>
  <c r="BK18" i="5"/>
  <c r="BI32" i="5"/>
  <c r="BK42" i="5"/>
  <c r="BK70" i="5"/>
  <c r="BI54" i="5"/>
  <c r="BK65" i="5"/>
  <c r="BI20" i="5"/>
  <c r="BI55" i="5"/>
  <c r="BI12" i="5"/>
  <c r="BK64" i="5"/>
  <c r="BK61" i="5"/>
  <c r="BI68" i="5"/>
  <c r="BI8" i="5"/>
  <c r="BK51" i="5"/>
  <c r="BI37" i="5"/>
  <c r="BK82" i="5"/>
  <c r="BI50" i="5"/>
  <c r="BK45" i="5"/>
  <c r="BI70" i="5"/>
  <c r="BI74" i="5"/>
  <c r="BI51" i="5"/>
  <c r="BK72" i="5"/>
  <c r="Y9" i="2" l="1"/>
  <c r="Z9" i="2" s="1"/>
  <c r="Y13" i="2"/>
  <c r="Z13" i="2" s="1"/>
  <c r="Y17" i="2"/>
  <c r="Z17" i="2" s="1"/>
  <c r="Y21" i="2"/>
  <c r="Z21" i="2" s="1"/>
  <c r="Y23" i="2"/>
  <c r="Z23" i="2" s="1"/>
  <c r="Y28" i="2"/>
  <c r="Z28" i="2" s="1"/>
  <c r="Y36" i="2"/>
  <c r="Z36" i="2" s="1"/>
  <c r="Y25" i="2"/>
  <c r="Z25" i="2" s="1"/>
  <c r="Y29" i="2"/>
  <c r="Z29" i="2" s="1"/>
  <c r="Y7" i="2"/>
  <c r="Z7" i="2" s="1"/>
  <c r="Y19" i="2"/>
  <c r="Z19" i="2" s="1"/>
  <c r="Y37" i="2"/>
  <c r="Z37" i="2" s="1"/>
  <c r="Y26" i="2"/>
  <c r="Z26" i="2" s="1"/>
  <c r="Y34" i="2"/>
  <c r="Z34" i="2" s="1"/>
  <c r="Y5" i="2"/>
  <c r="Z5" i="2" s="1"/>
  <c r="Y31" i="2"/>
  <c r="Z31" i="2" s="1"/>
  <c r="Y39" i="2"/>
  <c r="Z39" i="2" s="1"/>
  <c r="Y11" i="2"/>
  <c r="Z11" i="2" s="1"/>
  <c r="Y33" i="2"/>
  <c r="Z33" i="2" s="1"/>
  <c r="Y30" i="2"/>
  <c r="Z30" i="2" s="1"/>
  <c r="Y27" i="2"/>
  <c r="Z27" i="2" s="1"/>
  <c r="Y35" i="2"/>
  <c r="Z35" i="2" s="1"/>
  <c r="Y15" i="2"/>
  <c r="Z15" i="2" s="1"/>
  <c r="Y38" i="2"/>
  <c r="Z38" i="2" s="1"/>
  <c r="Y6" i="2"/>
  <c r="Z6" i="2" s="1"/>
  <c r="Y8" i="2"/>
  <c r="Z8" i="2" s="1"/>
  <c r="Y10" i="2"/>
  <c r="Z10" i="2" s="1"/>
  <c r="Y12" i="2"/>
  <c r="Z12" i="2" s="1"/>
  <c r="Y14" i="2"/>
  <c r="Z14" i="2" s="1"/>
  <c r="Y16" i="2"/>
  <c r="Z16" i="2" s="1"/>
  <c r="Y18" i="2"/>
  <c r="Z18" i="2" s="1"/>
  <c r="Y20" i="2"/>
  <c r="Z20" i="2" s="1"/>
  <c r="Y22" i="2"/>
  <c r="Z22" i="2" s="1"/>
  <c r="Y24" i="2"/>
  <c r="Z24" i="2" s="1"/>
  <c r="Y32" i="2"/>
  <c r="Z32" i="2" s="1"/>
  <c r="V5" i="2"/>
  <c r="V6" i="2"/>
  <c r="V8" i="2"/>
  <c r="V10" i="2"/>
  <c r="V13" i="2"/>
  <c r="V15" i="2"/>
  <c r="V17" i="2"/>
  <c r="V19" i="2"/>
  <c r="V22" i="2"/>
  <c r="V24" i="2"/>
  <c r="W5" i="2"/>
  <c r="X5" i="2" s="1"/>
  <c r="V7" i="2"/>
  <c r="V9" i="2"/>
  <c r="V11" i="2"/>
  <c r="V12" i="2"/>
  <c r="V14" i="2"/>
  <c r="V16" i="2"/>
  <c r="V18" i="2"/>
  <c r="V20" i="2"/>
  <c r="V21" i="2"/>
  <c r="V23" i="2"/>
  <c r="W6" i="2"/>
  <c r="X6" i="2" s="1"/>
  <c r="W7" i="2"/>
  <c r="X7" i="2" s="1"/>
  <c r="W8" i="2"/>
  <c r="X8" i="2" s="1"/>
  <c r="W9" i="2"/>
  <c r="X9" i="2" s="1"/>
  <c r="W10" i="2"/>
  <c r="X10" i="2" s="1"/>
  <c r="W11" i="2"/>
  <c r="X11" i="2" s="1"/>
  <c r="W12" i="2"/>
  <c r="X12" i="2" s="1"/>
  <c r="W13" i="2"/>
  <c r="X13" i="2" s="1"/>
  <c r="W14" i="2"/>
  <c r="X14" i="2" s="1"/>
  <c r="W15" i="2"/>
  <c r="X15" i="2" s="1"/>
  <c r="W16" i="2"/>
  <c r="X16" i="2" s="1"/>
  <c r="W17" i="2"/>
  <c r="X17" i="2" s="1"/>
  <c r="W18" i="2"/>
  <c r="X18" i="2" s="1"/>
  <c r="W19" i="2"/>
  <c r="X19" i="2" s="1"/>
  <c r="W20" i="2"/>
  <c r="X20" i="2" s="1"/>
  <c r="W21" i="2"/>
  <c r="X21" i="2" s="1"/>
  <c r="W22" i="2"/>
  <c r="X22" i="2" s="1"/>
  <c r="W23" i="2"/>
  <c r="X23" i="2" s="1"/>
  <c r="W24" i="2"/>
  <c r="X24" i="2" s="1"/>
  <c r="W25" i="2"/>
  <c r="X25" i="2" s="1"/>
  <c r="W26" i="2"/>
  <c r="X26" i="2" s="1"/>
  <c r="W27" i="2"/>
  <c r="X27" i="2" s="1"/>
  <c r="W28" i="2"/>
  <c r="X28" i="2" s="1"/>
  <c r="W29" i="2"/>
  <c r="X29" i="2" s="1"/>
  <c r="W30" i="2"/>
  <c r="X30" i="2" s="1"/>
  <c r="W31" i="2"/>
  <c r="X31" i="2" s="1"/>
  <c r="W32" i="2"/>
  <c r="X32" i="2" s="1"/>
  <c r="W33" i="2"/>
  <c r="X33" i="2" s="1"/>
  <c r="W34" i="2"/>
  <c r="X34" i="2" s="1"/>
  <c r="W35" i="2"/>
  <c r="X35" i="2" s="1"/>
  <c r="W36" i="2"/>
  <c r="X36" i="2" s="1"/>
  <c r="W37" i="2"/>
  <c r="X37" i="2" s="1"/>
  <c r="W38" i="2"/>
  <c r="X38" i="2" s="1"/>
  <c r="W39" i="2"/>
  <c r="X39" i="2" s="1"/>
  <c r="BR83" i="5"/>
  <c r="BG52" i="5"/>
  <c r="BG55" i="5"/>
  <c r="BG54" i="5"/>
  <c r="BR66" i="5"/>
  <c r="BG58" i="5"/>
  <c r="BG53" i="5"/>
  <c r="BG59" i="5"/>
  <c r="BG57" i="5"/>
  <c r="BR75" i="5"/>
  <c r="CC31" i="5"/>
  <c r="CC23" i="5"/>
  <c r="BR44" i="5"/>
  <c r="BR39" i="5"/>
  <c r="BR13" i="5"/>
  <c r="BR7" i="5"/>
  <c r="CC24" i="5"/>
  <c r="CC11" i="5"/>
  <c r="CC34" i="5"/>
  <c r="CC15" i="5"/>
  <c r="CC21" i="5"/>
  <c r="BL44" i="5"/>
  <c r="BJ53" i="5"/>
  <c r="C70" i="5"/>
  <c r="BO70" i="5" s="1"/>
  <c r="BL15" i="5"/>
  <c r="BL5" i="5"/>
  <c r="C11" i="5"/>
  <c r="BO11" i="5" s="1"/>
  <c r="BJ32" i="5"/>
  <c r="C57" i="5"/>
  <c r="BO57" i="5" s="1"/>
  <c r="BL8" i="5"/>
  <c r="BJ11" i="5"/>
  <c r="C16" i="5"/>
  <c r="BO16" i="5" s="1"/>
  <c r="BJ21" i="5"/>
  <c r="C33" i="5"/>
  <c r="BO33" i="5" s="1"/>
  <c r="C37" i="5"/>
  <c r="BO37" i="5" s="1"/>
  <c r="C40" i="5"/>
  <c r="BO40" i="5" s="1"/>
  <c r="BL45" i="5"/>
  <c r="C56" i="5"/>
  <c r="BO56" i="5" s="1"/>
  <c r="BJ56" i="5"/>
  <c r="BJ22" i="5"/>
  <c r="C32" i="5"/>
  <c r="BO32" i="5" s="1"/>
  <c r="BJ54" i="5"/>
  <c r="BL56" i="5"/>
  <c r="BJ72" i="5"/>
  <c r="C66" i="5"/>
  <c r="BO66" i="5" s="1"/>
  <c r="C5" i="5"/>
  <c r="BO5" i="5" s="1"/>
  <c r="BJ7" i="5"/>
  <c r="C12" i="5"/>
  <c r="BO12" i="5" s="1"/>
  <c r="C18" i="5"/>
  <c r="BO18" i="5" s="1"/>
  <c r="C25" i="5"/>
  <c r="BO25" i="5" s="1"/>
  <c r="C30" i="5"/>
  <c r="BO30" i="5" s="1"/>
  <c r="BJ38" i="5"/>
  <c r="BJ64" i="5"/>
  <c r="C80" i="5"/>
  <c r="BO80" i="5" s="1"/>
  <c r="C21" i="5"/>
  <c r="BO21" i="5" s="1"/>
  <c r="C28" i="5"/>
  <c r="BO28" i="5" s="1"/>
  <c r="BJ30" i="5"/>
  <c r="C55" i="5"/>
  <c r="BO55" i="5" s="1"/>
  <c r="BJ5" i="5"/>
  <c r="C6" i="5"/>
  <c r="BO6" i="5" s="1"/>
  <c r="BJ6" i="5"/>
  <c r="C8" i="5"/>
  <c r="BO8" i="5" s="1"/>
  <c r="BJ12" i="5"/>
  <c r="C13" i="5"/>
  <c r="BO13" i="5" s="1"/>
  <c r="BL19" i="5"/>
  <c r="BJ61" i="5"/>
  <c r="C71" i="5"/>
  <c r="BO71" i="5" s="1"/>
  <c r="BL80" i="5"/>
  <c r="BJ14" i="5"/>
  <c r="BJ52" i="5"/>
  <c r="BL6" i="5"/>
  <c r="BL7" i="5"/>
  <c r="BJ8" i="5"/>
  <c r="C9" i="5"/>
  <c r="BO9" i="5" s="1"/>
  <c r="BJ9" i="5"/>
  <c r="BL13" i="5"/>
  <c r="BJ27" i="5"/>
  <c r="BJ40" i="5"/>
  <c r="BJ42" i="5"/>
  <c r="C19" i="5"/>
  <c r="BO19" i="5" s="1"/>
  <c r="C23" i="5"/>
  <c r="BO23" i="5" s="1"/>
  <c r="C29" i="5"/>
  <c r="BO29" i="5" s="1"/>
  <c r="BJ33" i="5"/>
  <c r="BL41" i="5"/>
  <c r="C49" i="5"/>
  <c r="BO49" i="5" s="1"/>
  <c r="BJ60" i="5"/>
  <c r="BJ70" i="5"/>
  <c r="C7" i="5"/>
  <c r="BO7" i="5" s="1"/>
  <c r="BJ13" i="5"/>
  <c r="BL14" i="5"/>
  <c r="C17" i="5"/>
  <c r="BO17" i="5" s="1"/>
  <c r="BJ17" i="5"/>
  <c r="BJ19" i="5"/>
  <c r="C22" i="5"/>
  <c r="BO22" i="5" s="1"/>
  <c r="BJ23" i="5"/>
  <c r="BL27" i="5"/>
  <c r="BL29" i="5"/>
  <c r="BL38" i="5"/>
  <c r="BL42" i="5"/>
  <c r="BL49" i="5"/>
  <c r="C53" i="5"/>
  <c r="BO53" i="5" s="1"/>
  <c r="C54" i="5"/>
  <c r="BO54" i="5" s="1"/>
  <c r="BL60" i="5"/>
  <c r="BJ16" i="5"/>
  <c r="BJ18" i="5"/>
  <c r="C26" i="5"/>
  <c r="BO26" i="5" s="1"/>
  <c r="BJ26" i="5"/>
  <c r="BJ28" i="5"/>
  <c r="C31" i="5"/>
  <c r="BO31" i="5" s="1"/>
  <c r="BL48" i="5"/>
  <c r="C51" i="5"/>
  <c r="BO51" i="5" s="1"/>
  <c r="BJ55" i="5"/>
  <c r="C61" i="5"/>
  <c r="BO61" i="5" s="1"/>
  <c r="C65" i="5"/>
  <c r="BO65" i="5" s="1"/>
  <c r="BJ65" i="5"/>
  <c r="BL72" i="5"/>
  <c r="BJ73" i="5"/>
  <c r="BL77" i="5"/>
  <c r="C78" i="5"/>
  <c r="BO78" i="5" s="1"/>
  <c r="BJ78" i="5"/>
  <c r="BL12" i="5"/>
  <c r="C15" i="5"/>
  <c r="BO15" i="5" s="1"/>
  <c r="C20" i="5"/>
  <c r="BO20" i="5" s="1"/>
  <c r="C24" i="5"/>
  <c r="BO24" i="5" s="1"/>
  <c r="BJ31" i="5"/>
  <c r="BL34" i="5"/>
  <c r="C35" i="5"/>
  <c r="BO35" i="5" s="1"/>
  <c r="BJ35" i="5"/>
  <c r="BJ39" i="5"/>
  <c r="C43" i="5"/>
  <c r="BO43" i="5" s="1"/>
  <c r="BJ43" i="5"/>
  <c r="C47" i="5"/>
  <c r="BO47" i="5" s="1"/>
  <c r="C50" i="5"/>
  <c r="BO50" i="5" s="1"/>
  <c r="C58" i="5"/>
  <c r="BO58" i="5" s="1"/>
  <c r="C62" i="5"/>
  <c r="BO62" i="5" s="1"/>
  <c r="C73" i="5"/>
  <c r="BO73" i="5" s="1"/>
  <c r="BJ74" i="5"/>
  <c r="C14" i="5"/>
  <c r="BO14" i="5" s="1"/>
  <c r="BJ15" i="5"/>
  <c r="BL18" i="5"/>
  <c r="BL20" i="5"/>
  <c r="BJ24" i="5"/>
  <c r="C27" i="5"/>
  <c r="BO27" i="5" s="1"/>
  <c r="BL28" i="5"/>
  <c r="BL35" i="5"/>
  <c r="C45" i="5"/>
  <c r="BJ45" i="5"/>
  <c r="BJ50" i="5"/>
  <c r="BL51" i="5"/>
  <c r="BJ59" i="5"/>
  <c r="C74" i="5"/>
  <c r="BO74" i="5" s="1"/>
  <c r="BL78" i="5"/>
  <c r="C79" i="5"/>
  <c r="BO79" i="5" s="1"/>
  <c r="BJ79" i="5"/>
  <c r="BJ20" i="5"/>
  <c r="BL21" i="5"/>
  <c r="BJ25" i="5"/>
  <c r="BL26" i="5"/>
  <c r="BJ29" i="5"/>
  <c r="BL30" i="5"/>
  <c r="BJ34" i="5"/>
  <c r="C38" i="5"/>
  <c r="BO38" i="5" s="1"/>
  <c r="C39" i="5"/>
  <c r="BO39" i="5" s="1"/>
  <c r="C41" i="5"/>
  <c r="BO41" i="5" s="1"/>
  <c r="C42" i="5"/>
  <c r="BO42" i="5" s="1"/>
  <c r="C44" i="5"/>
  <c r="BO44" i="5" s="1"/>
  <c r="BJ47" i="5"/>
  <c r="C48" i="5"/>
  <c r="BO48" i="5" s="1"/>
  <c r="BJ49" i="5"/>
  <c r="C52" i="5"/>
  <c r="BO52" i="5" s="1"/>
  <c r="BJ57" i="5"/>
  <c r="BJ58" i="5"/>
  <c r="BL64" i="5"/>
  <c r="C68" i="5"/>
  <c r="BO68" i="5" s="1"/>
  <c r="BJ80" i="5"/>
  <c r="BL83" i="5"/>
  <c r="BL61" i="5"/>
  <c r="BJ67" i="5"/>
  <c r="BJ71" i="5"/>
  <c r="BL74" i="5"/>
  <c r="BJ82" i="5"/>
  <c r="BL62" i="5"/>
  <c r="BL68" i="5"/>
  <c r="C72" i="5"/>
  <c r="BO72" i="5" s="1"/>
  <c r="BL75" i="5"/>
  <c r="BJ76" i="5"/>
  <c r="C83" i="5"/>
  <c r="BO83" i="5" s="1"/>
  <c r="C60" i="5"/>
  <c r="BO60" i="5" s="1"/>
  <c r="C64" i="5"/>
  <c r="BO64" i="5" s="1"/>
  <c r="BL67" i="5"/>
  <c r="C76" i="5"/>
  <c r="BO76" i="5" s="1"/>
  <c r="C77" i="5"/>
  <c r="BO77" i="5" s="1"/>
  <c r="BJ77" i="5"/>
  <c r="BL82" i="5"/>
  <c r="BJ83" i="5"/>
  <c r="C34" i="5"/>
  <c r="BO34" i="5" s="1"/>
  <c r="BJ37" i="5"/>
  <c r="BL40" i="5"/>
  <c r="BJ41" i="5"/>
  <c r="BL43" i="5"/>
  <c r="BJ44" i="5"/>
  <c r="BJ48" i="5"/>
  <c r="BJ51" i="5"/>
  <c r="C59" i="5"/>
  <c r="BO59" i="5" s="1"/>
  <c r="BJ62" i="5"/>
  <c r="BL65" i="5"/>
  <c r="BJ66" i="5"/>
  <c r="C67" i="5"/>
  <c r="BO67" i="5" s="1"/>
  <c r="BJ68" i="5"/>
  <c r="BL70" i="5"/>
  <c r="C75" i="5"/>
  <c r="BO75" i="5" s="1"/>
  <c r="BJ75" i="5"/>
  <c r="C82" i="5"/>
  <c r="BO82" i="5" s="1"/>
  <c r="BK79" i="5"/>
  <c r="BK39" i="5"/>
  <c r="BK73" i="5"/>
  <c r="BK71" i="5"/>
  <c r="BK17" i="5"/>
  <c r="BK31" i="5"/>
  <c r="BK33" i="5"/>
  <c r="BK32" i="5"/>
  <c r="BK55" i="5"/>
  <c r="BK66" i="5"/>
  <c r="BK54" i="5"/>
  <c r="BK24" i="5"/>
  <c r="BK11" i="5"/>
  <c r="BK25" i="5"/>
  <c r="BK23" i="5"/>
  <c r="BK9" i="5"/>
  <c r="BK47" i="5"/>
  <c r="BK58" i="5"/>
  <c r="BK22" i="5"/>
  <c r="BK76" i="5"/>
  <c r="BK16" i="5"/>
  <c r="BK37" i="5"/>
  <c r="BK57" i="5"/>
  <c r="BK50" i="5"/>
  <c r="BK53" i="5"/>
  <c r="BK52" i="5"/>
  <c r="BK59" i="5"/>
  <c r="BL50" i="5" l="1"/>
  <c r="BL37" i="5"/>
  <c r="BL16" i="5"/>
  <c r="BL76" i="5"/>
  <c r="BL22" i="5"/>
  <c r="BL47" i="5"/>
  <c r="BL9" i="5"/>
  <c r="BL23" i="5"/>
  <c r="BL25" i="5"/>
  <c r="BL11" i="5"/>
  <c r="BL24" i="5"/>
  <c r="BL66" i="5"/>
  <c r="BL32" i="5"/>
  <c r="BL33" i="5"/>
  <c r="BL31" i="5"/>
  <c r="BL17" i="5"/>
  <c r="BL71" i="5"/>
  <c r="BL73" i="5"/>
  <c r="BL39" i="5"/>
  <c r="BL79" i="5"/>
  <c r="BL58" i="5"/>
  <c r="BL59" i="5"/>
  <c r="BL54" i="5"/>
  <c r="BL53" i="5"/>
  <c r="BL55" i="5"/>
  <c r="BL52" i="5"/>
  <c r="BL57" i="5"/>
  <c r="BH58" i="5"/>
  <c r="BH59" i="5"/>
  <c r="BH54" i="5"/>
  <c r="BH53" i="5"/>
  <c r="BH55" i="5"/>
  <c r="BH52" i="5"/>
  <c r="BH57" i="5"/>
  <c r="BR26" i="5"/>
  <c r="BR54" i="5" l="1"/>
</calcChain>
</file>

<file path=xl/comments1.xml><?xml version="1.0" encoding="utf-8"?>
<comments xmlns="http://schemas.openxmlformats.org/spreadsheetml/2006/main">
  <authors>
    <author>Martien</author>
  </authors>
  <commentList>
    <comment ref="E3" authorId="0">
      <text>
        <r>
          <rPr>
            <sz val="9"/>
            <color indexed="81"/>
            <rFont val="Tahoma"/>
            <family val="2"/>
          </rPr>
          <t xml:space="preserve">0 = 100 % of 16 C test
1 = 100 % of 32 C test
</t>
        </r>
      </text>
    </comment>
  </commentList>
</comments>
</file>

<file path=xl/comments2.xml><?xml version="1.0" encoding="utf-8"?>
<comments xmlns="http://schemas.openxmlformats.org/spreadsheetml/2006/main">
  <authors>
    <author>Martien Janssen</author>
    <author>Martien</author>
  </authors>
  <commentList>
    <comment ref="D2" authorId="0">
      <text>
        <r>
          <rPr>
            <sz val="8"/>
            <color indexed="81"/>
            <rFont val="Tahoma"/>
            <family val="2"/>
          </rPr>
          <t>1 = Fridge
2 = Fridge/Cellar
3 = Fridge / 0 *
4 = Fridge / *
5 = Fridge / **
6 = Fridge / ***
7 = Fridge / (*)***
8 = Upright Freezer
9 = Chest Freezer
10 = Multi-door &amp; Other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" authorId="1">
      <text>
        <r>
          <rPr>
            <sz val="9"/>
            <color indexed="81"/>
            <rFont val="Tahoma"/>
            <family val="2"/>
          </rPr>
          <t xml:space="preserve">Add characteristics such as the use of heaters at low ambient
</t>
        </r>
      </text>
    </comment>
    <comment ref="V2" authorId="1">
      <text>
        <r>
          <rPr>
            <sz val="9"/>
            <color indexed="81"/>
            <rFont val="Tahoma"/>
            <family val="2"/>
          </rPr>
          <t xml:space="preserve">Time from the start of a defrost to the next. An approximate value is sufficient here (i.e. the average of the two test points used for interpolation)
</t>
        </r>
      </text>
    </comment>
    <comment ref="AV2" authorId="1">
      <text>
        <r>
          <rPr>
            <sz val="9"/>
            <color indexed="81"/>
            <rFont val="Tahoma"/>
            <family val="2"/>
          </rPr>
          <t xml:space="preserve">The defrost interval length as defined in the new global standard (which is a calculated value for variable defrost systems)
</t>
        </r>
      </text>
    </comment>
    <comment ref="BC2" authorId="1">
      <text>
        <r>
          <rPr>
            <sz val="9"/>
            <color indexed="81"/>
            <rFont val="Tahoma"/>
            <family val="2"/>
          </rPr>
          <t xml:space="preserve">The defrost interval length as defined in the new global standard (which is a calculated value for variable defrost systems)
</t>
        </r>
      </text>
    </comment>
    <comment ref="BI2" authorId="1">
      <text>
        <r>
          <rPr>
            <sz val="9"/>
            <color indexed="81"/>
            <rFont val="Tahoma"/>
            <family val="2"/>
          </rPr>
          <t xml:space="preserve">The adjusted volume as per current energy label is calculated using updated target temperatures according the global standard (so for a fridge the target is now 4 instead of 5). The calculation formula for the volume multiplier has been adjusted and is now: omega = (Tka-Ttarget)/(Tka-4) where Tka is the linearly interpolated ambient temperature (e.g. 24 C with F=0.5).
</t>
        </r>
      </text>
    </comment>
    <comment ref="BK2" authorId="1">
      <text>
        <r>
          <rPr>
            <sz val="9"/>
            <color indexed="81"/>
            <rFont val="Tahoma"/>
            <family val="2"/>
          </rPr>
          <t xml:space="preserve">The effiency index as per current energy label is calculated using parameters derived from the new global standard:
1) target temperatures
2) volumes
2) energy consumption averaged from the 16 and 32 C test
Later alternative solutions will be added to this workbook, in order to integrate the new standard and regulations in a better way.
</t>
        </r>
      </text>
    </comment>
    <comment ref="BL2" authorId="1">
      <text>
        <r>
          <rPr>
            <sz val="9"/>
            <color indexed="81"/>
            <rFont val="Tahoma"/>
            <family val="2"/>
          </rPr>
          <t xml:space="preserve">Expressed in percent points. So a difference between index 50 and 52 % is represented at 2 % and not as 4 %
</t>
        </r>
      </text>
    </comment>
    <comment ref="S3" authorId="1">
      <text>
        <r>
          <rPr>
            <sz val="9"/>
            <color indexed="81"/>
            <rFont val="Tahoma"/>
            <family val="2"/>
          </rPr>
          <t xml:space="preserve">Requires the data at the interpolated point or a single test if it represents the energy consumption at the target temperature
</t>
        </r>
      </text>
    </comment>
    <comment ref="AS3" authorId="1">
      <text>
        <r>
          <rPr>
            <sz val="9"/>
            <color indexed="81"/>
            <rFont val="Tahoma"/>
            <family val="2"/>
          </rPr>
          <t xml:space="preserve">Requires the data at the interpolated point or a single test if it represents the energy consumption at the target temperature
</t>
        </r>
      </text>
    </comment>
    <comment ref="AZ3" authorId="1">
      <text>
        <r>
          <rPr>
            <sz val="9"/>
            <color indexed="81"/>
            <rFont val="Tahoma"/>
            <family val="2"/>
          </rPr>
          <t xml:space="preserve">Requires the data at the interpolated point or a single test if it represents the energy consumption at the target temperature
</t>
        </r>
      </text>
    </comment>
    <comment ref="BR41" authorId="1">
      <text>
        <r>
          <rPr>
            <b/>
            <sz val="9"/>
            <color indexed="81"/>
            <rFont val="Tahoma"/>
            <family val="2"/>
          </rPr>
          <t>Excluding product no 8</t>
        </r>
      </text>
    </comment>
    <comment ref="BR44" authorId="1">
      <text>
        <r>
          <rPr>
            <b/>
            <sz val="9"/>
            <color indexed="81"/>
            <rFont val="Tahoma"/>
            <family val="2"/>
          </rPr>
          <t>Excluding product no 8</t>
        </r>
      </text>
    </comment>
    <comment ref="AT47" authorId="1">
      <text>
        <r>
          <rPr>
            <b/>
            <sz val="9"/>
            <color indexed="81"/>
            <rFont val="Tahoma"/>
            <family val="2"/>
          </rPr>
          <t>Corrected to 80 hours based on manufacturer data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48" authorId="1">
      <text>
        <r>
          <rPr>
            <b/>
            <sz val="9"/>
            <color indexed="81"/>
            <rFont val="Tahoma"/>
            <family val="2"/>
          </rPr>
          <t>Correction: 900 - 80Wh+80Wh*24/48 (using 80 Wh for the defrost according measurement data)</t>
        </r>
      </text>
    </comment>
    <comment ref="AT49" authorId="1">
      <text>
        <r>
          <rPr>
            <b/>
            <sz val="9"/>
            <color indexed="81"/>
            <rFont val="Tahoma"/>
            <family val="2"/>
          </rPr>
          <t>Based on manufacturer data of 80 hours</t>
        </r>
      </text>
    </comment>
    <comment ref="AT50" authorId="1">
      <text>
        <r>
          <rPr>
            <b/>
            <sz val="9"/>
            <color indexed="81"/>
            <rFont val="Tahoma"/>
            <family val="2"/>
          </rPr>
          <t>Based on 70 Wh for defrost and defrost interval 2 x interval at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51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52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53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54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55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56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57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58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59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60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70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71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72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74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75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77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78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79" authorId="1">
      <text>
        <r>
          <rPr>
            <b/>
            <sz val="9"/>
            <color indexed="81"/>
            <rFont val="Tahoma"/>
            <family val="2"/>
          </rPr>
          <t>Based on 70 Wh for defrost and interval 2 x interval of 32 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<sst xmlns="http://schemas.openxmlformats.org/spreadsheetml/2006/main" count="755" uniqueCount="132">
  <si>
    <t>Appliance category</t>
  </si>
  <si>
    <t>Free standing</t>
  </si>
  <si>
    <t>Fridge</t>
  </si>
  <si>
    <t>[°C]</t>
  </si>
  <si>
    <t>Yes</t>
  </si>
  <si>
    <t>[dm3]</t>
  </si>
  <si>
    <t>[%]</t>
  </si>
  <si>
    <t>No</t>
  </si>
  <si>
    <t>Number of controls</t>
  </si>
  <si>
    <t>Other product characteristics</t>
  </si>
  <si>
    <t>Work Area</t>
  </si>
  <si>
    <t>Cellar</t>
  </si>
  <si>
    <t>Chill</t>
  </si>
  <si>
    <t>CompartmentTypes</t>
  </si>
  <si>
    <t>N</t>
  </si>
  <si>
    <t>SN</t>
  </si>
  <si>
    <t>ST</t>
  </si>
  <si>
    <t>T</t>
  </si>
  <si>
    <t>0*</t>
  </si>
  <si>
    <t>*</t>
  </si>
  <si>
    <t>**</t>
  </si>
  <si>
    <t>***</t>
  </si>
  <si>
    <t>*(***)</t>
  </si>
  <si>
    <t>Wine</t>
  </si>
  <si>
    <t>YesNo</t>
  </si>
  <si>
    <t>MaxClimateClass_Options</t>
  </si>
  <si>
    <t>MinClimateClass_Options</t>
  </si>
  <si>
    <t>Placement</t>
  </si>
  <si>
    <t>Built-in</t>
  </si>
  <si>
    <t>CompressorType</t>
  </si>
  <si>
    <t>Fixed speed</t>
  </si>
  <si>
    <t>Variable speed</t>
  </si>
  <si>
    <t>Other</t>
  </si>
  <si>
    <t>Compressor running time percentage</t>
  </si>
  <si>
    <t>Data according present standard EN153/ISO15502</t>
  </si>
  <si>
    <t>Number of compressors</t>
  </si>
  <si>
    <t>Energy consumption</t>
  </si>
  <si>
    <t>Number of compartments</t>
  </si>
  <si>
    <t>Type of compartment 1</t>
  </si>
  <si>
    <t>Type of compartment 2</t>
  </si>
  <si>
    <t>Type of compartment 3</t>
  </si>
  <si>
    <t>Temperature compartment 1</t>
  </si>
  <si>
    <t>Temperature compartment 2</t>
  </si>
  <si>
    <t>Temperature compartment 3</t>
  </si>
  <si>
    <t>Target temperature compartment 1</t>
  </si>
  <si>
    <t>Target temperature compartment 2</t>
  </si>
  <si>
    <t>Target temperature compartment 3</t>
  </si>
  <si>
    <t>Volume compartment 1</t>
  </si>
  <si>
    <t>Volume compartment 2</t>
  </si>
  <si>
    <t>Volume compartment 3</t>
  </si>
  <si>
    <t>Forced air compartment 1</t>
  </si>
  <si>
    <t>Forced air compartment 2</t>
  </si>
  <si>
    <t>Forced air compartment 3</t>
  </si>
  <si>
    <t>Data according new global standard at 16 C ambient</t>
  </si>
  <si>
    <t>Data according new global standard at 32 C ambient</t>
  </si>
  <si>
    <t>Factor in total energy consumption (f)</t>
  </si>
  <si>
    <t xml:space="preserve">Corresponds to an ambient temperature </t>
  </si>
  <si>
    <t>[-]</t>
  </si>
  <si>
    <t>Corresponds to days at 16 °C</t>
  </si>
  <si>
    <t>Corresponds to days at 32 °C</t>
  </si>
  <si>
    <t>[Wh/d]</t>
  </si>
  <si>
    <t>Final energy consumption new standard</t>
  </si>
  <si>
    <t>Difference compared to current standard</t>
  </si>
  <si>
    <t>Pantry</t>
  </si>
  <si>
    <t>Volume difference compartment 1</t>
  </si>
  <si>
    <t>Volume difference compartment 2</t>
  </si>
  <si>
    <t>Volume difference compartment 3</t>
  </si>
  <si>
    <t>Adjusted volume</t>
  </si>
  <si>
    <t>Max climate class</t>
  </si>
  <si>
    <t>Min climate class</t>
  </si>
  <si>
    <t>Adjusted volume difference</t>
  </si>
  <si>
    <t>Energy efficiency index</t>
  </si>
  <si>
    <t>Defrost interval length</t>
  </si>
  <si>
    <t>[h]</t>
  </si>
  <si>
    <t>Energy efficiency index difference</t>
  </si>
  <si>
    <t>heater in low ambient</t>
  </si>
  <si>
    <t>chest freezer</t>
  </si>
  <si>
    <t>upright freezer</t>
  </si>
  <si>
    <t>comb sta bo-fre</t>
  </si>
  <si>
    <t>comb sta to-fre</t>
  </si>
  <si>
    <t>comb sta nf to-fre</t>
  </si>
  <si>
    <t>fridge</t>
  </si>
  <si>
    <t>fridge w. 4*- comp</t>
  </si>
  <si>
    <t>comb sta nf bo-fre</t>
  </si>
  <si>
    <t>upright nf fre</t>
  </si>
  <si>
    <t>Tc</t>
  </si>
  <si>
    <t>Current = (25-Tc)/20</t>
  </si>
  <si>
    <t>(25-Tc)/(25-4)</t>
  </si>
  <si>
    <t>Number</t>
  </si>
  <si>
    <t>Cat 7-I</t>
  </si>
  <si>
    <t>Cat 7-II-NF</t>
  </si>
  <si>
    <t>Cat 8-NF</t>
  </si>
  <si>
    <t>Cat 9</t>
  </si>
  <si>
    <t>Cat 1..3</t>
  </si>
  <si>
    <t>FS</t>
  </si>
  <si>
    <t>BI</t>
  </si>
  <si>
    <t>VS</t>
  </si>
  <si>
    <t>Manufacturer ID</t>
  </si>
  <si>
    <t>side by side</t>
  </si>
  <si>
    <t>Cat 7-II-Static</t>
  </si>
  <si>
    <t>Cat 8-Static</t>
  </si>
  <si>
    <t>Appliance placement (FS=Free standing, BI=Built-in)</t>
  </si>
  <si>
    <t>Compressor type (FS=Fixed speed, VS=Variable speed)</t>
  </si>
  <si>
    <t>X</t>
  </si>
  <si>
    <t>F*(16-Tc)/(16-4)+(1-F)*(32-Tc)/(32-4); F=0.5</t>
  </si>
  <si>
    <t>Energy efficiency index (EN62552)</t>
  </si>
  <si>
    <t>Data according new global standard (IEC62552-1,-2,-3)</t>
  </si>
  <si>
    <t>First study CECED</t>
  </si>
  <si>
    <t>Tka [C]</t>
  </si>
  <si>
    <t>F*(16-Tc)/(16-4)+(1-F)*(32-Tc)/(32-4)</t>
  </si>
  <si>
    <t>Interp temp.</t>
  </si>
  <si>
    <t>Category labels</t>
  </si>
  <si>
    <t>Energy Efficiency Index for chart</t>
  </si>
  <si>
    <t>Bars to split categories</t>
  </si>
  <si>
    <t>Average Increase per category</t>
  </si>
  <si>
    <t>Support line to draw averages</t>
  </si>
  <si>
    <t>&lt;-- Averages  --&gt;</t>
  </si>
  <si>
    <t>(Tka-Tc)/(Tka-4), Tka=24</t>
  </si>
  <si>
    <t>(Tka-Tc)/(Tka-4), Tka=25</t>
  </si>
  <si>
    <t>&gt; 72</t>
  </si>
  <si>
    <t>Selected tests</t>
  </si>
  <si>
    <t>Type I</t>
  </si>
  <si>
    <t>Type II, Static</t>
  </si>
  <si>
    <t>--&gt;</t>
  </si>
  <si>
    <t>Type II, No-Frost</t>
  </si>
  <si>
    <t>filtered-&gt;</t>
  </si>
  <si>
    <t>Overview of products analysed using the new IEC62552-1,-2,-3:2015 Global Standard for cold appliances</t>
  </si>
  <si>
    <t>V7</t>
  </si>
  <si>
    <t>Factor</t>
  </si>
  <si>
    <t>Adjusted volume analysis</t>
  </si>
  <si>
    <t>Cat7 analysis</t>
  </si>
  <si>
    <t>0.4375 corresponds to 25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</si>
</sst>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MS Sans Serif"/>
      <family val="2"/>
    </font>
    <font>
      <b/>
      <sz val="12"/>
      <color indexed="14"/>
      <name val="Arial"/>
      <family val="2"/>
    </font>
    <font>
      <b/>
      <sz val="14"/>
      <color rgb="FFFF3399"/>
      <name val="Calibri"/>
      <family val="2"/>
      <scheme val="minor"/>
    </font>
    <font>
      <sz val="9"/>
      <color indexed="81"/>
      <name val="Tahoma"/>
      <family val="2"/>
    </font>
    <font>
      <b/>
      <i/>
      <sz val="9"/>
      <name val="Arial"/>
      <family val="2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12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rgb="FF0000FF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0" fontId="5" fillId="0" borderId="0" xfId="1" applyFont="1"/>
    <xf numFmtId="0" fontId="2" fillId="0" borderId="0" xfId="1" applyFont="1"/>
    <xf numFmtId="0" fontId="2" fillId="2" borderId="0" xfId="1" applyFont="1" applyFill="1"/>
    <xf numFmtId="0" fontId="2" fillId="0" borderId="0" xfId="1" applyFont="1" applyFill="1"/>
    <xf numFmtId="0" fontId="2" fillId="2" borderId="0" xfId="1" applyFont="1" applyFill="1" applyAlignment="1">
      <alignment horizontal="left"/>
    </xf>
    <xf numFmtId="0" fontId="6" fillId="0" borderId="0" xfId="0" applyFont="1" applyProtection="1"/>
    <xf numFmtId="164" fontId="0" fillId="0" borderId="0" xfId="0" applyNumberFormat="1"/>
    <xf numFmtId="0" fontId="9" fillId="0" borderId="0" xfId="0" applyFont="1" applyProtection="1">
      <protection locked="0"/>
    </xf>
    <xf numFmtId="0" fontId="10" fillId="0" borderId="0" xfId="0" applyFont="1" applyAlignment="1">
      <alignment horizontal="right"/>
    </xf>
    <xf numFmtId="0" fontId="10" fillId="0" borderId="0" xfId="0" applyFont="1"/>
    <xf numFmtId="12" fontId="1" fillId="0" borderId="0" xfId="0" applyNumberFormat="1" applyFont="1" applyAlignment="1" applyProtection="1">
      <alignment horizontal="right" textRotation="90"/>
    </xf>
    <xf numFmtId="12" fontId="1" fillId="0" borderId="0" xfId="0" applyNumberFormat="1" applyFont="1" applyAlignment="1" applyProtection="1">
      <alignment horizontal="right" textRotation="90" wrapText="1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 wrapText="1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1" fillId="0" borderId="0" xfId="0" applyFont="1" applyAlignment="1" applyProtection="1">
      <alignment horizontal="right"/>
      <protection locked="0"/>
    </xf>
    <xf numFmtId="164" fontId="11" fillId="0" borderId="0" xfId="0" applyNumberFormat="1" applyFont="1" applyBorder="1" applyAlignment="1" applyProtection="1">
      <alignment horizontal="right"/>
      <protection locked="0"/>
    </xf>
    <xf numFmtId="1" fontId="11" fillId="0" borderId="0" xfId="0" applyNumberFormat="1" applyFont="1" applyBorder="1" applyAlignment="1" applyProtection="1">
      <alignment horizontal="right"/>
      <protection locked="0"/>
    </xf>
    <xf numFmtId="164" fontId="11" fillId="0" borderId="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4" fontId="12" fillId="0" borderId="0" xfId="0" applyNumberFormat="1" applyFont="1" applyBorder="1" applyAlignment="1" applyProtection="1">
      <alignment horizontal="right" wrapText="1"/>
      <protection locked="0"/>
    </xf>
    <xf numFmtId="164" fontId="12" fillId="0" borderId="0" xfId="0" applyNumberFormat="1" applyFont="1" applyBorder="1" applyAlignment="1" applyProtection="1">
      <alignment horizontal="right"/>
      <protection locked="0"/>
    </xf>
    <xf numFmtId="164" fontId="13" fillId="0" borderId="0" xfId="0" applyNumberFormat="1" applyFont="1" applyBorder="1" applyAlignment="1" applyProtection="1">
      <alignment horizontal="right"/>
    </xf>
    <xf numFmtId="0" fontId="11" fillId="3" borderId="0" xfId="0" applyFont="1" applyFill="1" applyAlignment="1" applyProtection="1">
      <alignment horizontal="right"/>
      <protection locked="0"/>
    </xf>
    <xf numFmtId="164" fontId="11" fillId="3" borderId="0" xfId="0" applyNumberFormat="1" applyFont="1" applyFill="1" applyBorder="1" applyAlignment="1" applyProtection="1">
      <alignment horizontal="right"/>
      <protection locked="0"/>
    </xf>
    <xf numFmtId="1" fontId="11" fillId="3" borderId="0" xfId="0" applyNumberFormat="1" applyFont="1" applyFill="1" applyBorder="1" applyAlignment="1" applyProtection="1">
      <alignment horizontal="right"/>
      <protection locked="0"/>
    </xf>
    <xf numFmtId="164" fontId="11" fillId="3" borderId="0" xfId="0" applyNumberFormat="1" applyFont="1" applyFill="1" applyBorder="1" applyAlignment="1" applyProtection="1">
      <alignment horizontal="right" wrapText="1"/>
      <protection locked="0"/>
    </xf>
    <xf numFmtId="0" fontId="11" fillId="3" borderId="0" xfId="0" applyFont="1" applyFill="1" applyBorder="1" applyAlignment="1" applyProtection="1">
      <alignment horizontal="right"/>
      <protection locked="0"/>
    </xf>
    <xf numFmtId="164" fontId="12" fillId="3" borderId="0" xfId="0" applyNumberFormat="1" applyFont="1" applyFill="1" applyBorder="1" applyAlignment="1" applyProtection="1">
      <alignment horizontal="right" wrapText="1"/>
      <protection locked="0"/>
    </xf>
    <xf numFmtId="164" fontId="12" fillId="3" borderId="0" xfId="0" applyNumberFormat="1" applyFont="1" applyFill="1" applyBorder="1" applyAlignment="1" applyProtection="1">
      <alignment horizontal="right"/>
      <protection locked="0"/>
    </xf>
    <xf numFmtId="164" fontId="13" fillId="3" borderId="0" xfId="0" applyNumberFormat="1" applyFont="1" applyFill="1" applyBorder="1" applyAlignment="1" applyProtection="1">
      <alignment horizontal="right"/>
    </xf>
    <xf numFmtId="0" fontId="14" fillId="0" borderId="0" xfId="0" applyFont="1"/>
    <xf numFmtId="12" fontId="15" fillId="0" borderId="0" xfId="0" applyNumberFormat="1" applyFont="1" applyAlignment="1" applyProtection="1">
      <alignment textRotation="90"/>
    </xf>
    <xf numFmtId="12" fontId="14" fillId="0" borderId="0" xfId="0" applyNumberFormat="1" applyFont="1" applyAlignment="1">
      <alignment textRotation="90"/>
    </xf>
    <xf numFmtId="0" fontId="14" fillId="0" borderId="0" xfId="0" applyFont="1" applyAlignment="1" applyProtection="1">
      <alignment horizontal="right"/>
    </xf>
    <xf numFmtId="0" fontId="14" fillId="3" borderId="0" xfId="0" applyFont="1" applyFill="1"/>
    <xf numFmtId="0" fontId="14" fillId="3" borderId="0" xfId="0" applyFont="1" applyFill="1" applyAlignment="1" applyProtection="1">
      <alignment horizontal="right"/>
    </xf>
    <xf numFmtId="0" fontId="14" fillId="3" borderId="0" xfId="0" applyFont="1" applyFill="1" applyBorder="1" applyAlignment="1" applyProtection="1">
      <alignment horizontal="right"/>
    </xf>
    <xf numFmtId="0" fontId="14" fillId="0" borderId="0" xfId="0" quotePrefix="1" applyNumberFormat="1" applyFont="1"/>
    <xf numFmtId="164" fontId="14" fillId="0" borderId="0" xfId="0" applyNumberFormat="1" applyFont="1" applyAlignment="1" applyProtection="1">
      <alignment horizontal="right"/>
    </xf>
    <xf numFmtId="164" fontId="12" fillId="0" borderId="0" xfId="0" applyNumberFormat="1" applyFont="1" applyAlignment="1" applyProtection="1">
      <alignment horizontal="right"/>
      <protection locked="0"/>
    </xf>
    <xf numFmtId="164" fontId="14" fillId="0" borderId="0" xfId="0" applyNumberFormat="1" applyFont="1" applyAlignment="1" applyProtection="1">
      <alignment horizontal="right" wrapText="1"/>
    </xf>
    <xf numFmtId="0" fontId="14" fillId="0" borderId="0" xfId="0" applyNumberFormat="1" applyFont="1"/>
    <xf numFmtId="0" fontId="11" fillId="0" borderId="0" xfId="0" applyFont="1" applyFill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>
      <alignment horizontal="right"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12" fontId="1" fillId="0" borderId="0" xfId="0" applyNumberFormat="1" applyFont="1" applyAlignment="1" applyProtection="1">
      <alignment horizontal="left" textRotation="90"/>
    </xf>
    <xf numFmtId="0" fontId="1" fillId="0" borderId="0" xfId="0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right"/>
    </xf>
    <xf numFmtId="164" fontId="12" fillId="3" borderId="0" xfId="0" applyNumberFormat="1" applyFont="1" applyFill="1" applyBorder="1" applyAlignment="1" applyProtection="1">
      <alignment horizontal="right"/>
    </xf>
    <xf numFmtId="0" fontId="12" fillId="0" borderId="0" xfId="0" applyFont="1"/>
    <xf numFmtId="0" fontId="0" fillId="0" borderId="0" xfId="0"/>
    <xf numFmtId="0" fontId="12" fillId="0" borderId="0" xfId="0" applyFont="1" applyProtection="1">
      <protection locked="0"/>
    </xf>
    <xf numFmtId="0" fontId="14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  <protection locked="0"/>
    </xf>
    <xf numFmtId="164" fontId="11" fillId="0" borderId="0" xfId="0" applyNumberFormat="1" applyFont="1" applyBorder="1" applyAlignment="1" applyProtection="1">
      <alignment horizontal="right"/>
      <protection locked="0"/>
    </xf>
    <xf numFmtId="1" fontId="11" fillId="0" borderId="0" xfId="0" applyNumberFormat="1" applyFont="1" applyBorder="1" applyAlignment="1" applyProtection="1">
      <alignment horizontal="right"/>
      <protection locked="0"/>
    </xf>
    <xf numFmtId="164" fontId="11" fillId="0" borderId="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4" fontId="12" fillId="0" borderId="0" xfId="0" applyNumberFormat="1" applyFont="1" applyBorder="1" applyAlignment="1" applyProtection="1">
      <alignment horizontal="right" wrapText="1"/>
      <protection locked="0"/>
    </xf>
    <xf numFmtId="164" fontId="12" fillId="0" borderId="0" xfId="0" applyNumberFormat="1" applyFont="1" applyBorder="1" applyAlignment="1" applyProtection="1">
      <alignment horizontal="right"/>
      <protection locked="0"/>
    </xf>
    <xf numFmtId="164" fontId="13" fillId="0" borderId="0" xfId="0" applyNumberFormat="1" applyFont="1" applyBorder="1" applyAlignment="1" applyProtection="1">
      <alignment horizontal="right"/>
    </xf>
    <xf numFmtId="164" fontId="14" fillId="0" borderId="0" xfId="0" applyNumberFormat="1" applyFont="1" applyAlignment="1" applyProtection="1">
      <alignment horizontal="right"/>
    </xf>
    <xf numFmtId="164" fontId="12" fillId="0" borderId="0" xfId="0" applyNumberFormat="1" applyFont="1" applyAlignment="1" applyProtection="1">
      <alignment horizontal="right"/>
      <protection locked="0"/>
    </xf>
    <xf numFmtId="164" fontId="12" fillId="0" borderId="0" xfId="0" applyNumberFormat="1" applyFont="1" applyFill="1" applyBorder="1" applyAlignment="1" applyProtection="1">
      <alignment horizontal="right"/>
      <protection locked="0"/>
    </xf>
    <xf numFmtId="0" fontId="14" fillId="4" borderId="0" xfId="0" applyFont="1" applyFill="1"/>
    <xf numFmtId="12" fontId="8" fillId="4" borderId="0" xfId="0" applyNumberFormat="1" applyFont="1" applyFill="1" applyAlignment="1" applyProtection="1">
      <alignment horizontal="right" textRotation="90"/>
    </xf>
    <xf numFmtId="0" fontId="8" fillId="4" borderId="0" xfId="0" applyFont="1" applyFill="1" applyAlignment="1" applyProtection="1">
      <alignment horizontal="right"/>
    </xf>
    <xf numFmtId="164" fontId="11" fillId="4" borderId="0" xfId="0" applyNumberFormat="1" applyFont="1" applyFill="1" applyBorder="1" applyAlignment="1" applyProtection="1">
      <alignment horizontal="right"/>
    </xf>
    <xf numFmtId="0" fontId="14" fillId="4" borderId="0" xfId="0" applyFont="1" applyFill="1" applyAlignment="1">
      <alignment horizontal="right"/>
    </xf>
    <xf numFmtId="12" fontId="8" fillId="4" borderId="0" xfId="0" applyNumberFormat="1" applyFont="1" applyFill="1" applyBorder="1" applyAlignment="1" applyProtection="1">
      <alignment horizontal="right" textRotation="90"/>
    </xf>
    <xf numFmtId="0" fontId="8" fillId="4" borderId="0" xfId="0" applyFont="1" applyFill="1" applyBorder="1" applyAlignment="1" applyProtection="1">
      <alignment horizontal="right"/>
    </xf>
    <xf numFmtId="164" fontId="14" fillId="4" borderId="0" xfId="0" applyNumberFormat="1" applyFont="1" applyFill="1" applyAlignment="1" applyProtection="1">
      <alignment horizontal="right"/>
    </xf>
    <xf numFmtId="0" fontId="1" fillId="4" borderId="0" xfId="0" applyFont="1" applyFill="1" applyBorder="1" applyAlignment="1" applyProtection="1">
      <alignment horizontal="right"/>
    </xf>
    <xf numFmtId="0" fontId="12" fillId="0" borderId="0" xfId="0" applyFont="1" applyFill="1"/>
    <xf numFmtId="0" fontId="12" fillId="3" borderId="0" xfId="0" applyFont="1" applyFill="1"/>
    <xf numFmtId="164" fontId="14" fillId="0" borderId="0" xfId="0" applyNumberFormat="1" applyFont="1"/>
    <xf numFmtId="0" fontId="14" fillId="5" borderId="0" xfId="0" applyFont="1" applyFill="1"/>
    <xf numFmtId="12" fontId="16" fillId="5" borderId="0" xfId="0" applyNumberFormat="1" applyFont="1" applyFill="1" applyAlignment="1" applyProtection="1">
      <alignment textRotation="90"/>
    </xf>
    <xf numFmtId="0" fontId="8" fillId="5" borderId="0" xfId="0" applyFont="1" applyFill="1" applyAlignment="1" applyProtection="1">
      <alignment horizontal="right"/>
    </xf>
    <xf numFmtId="164" fontId="11" fillId="5" borderId="0" xfId="0" applyNumberFormat="1" applyFont="1" applyFill="1" applyBorder="1" applyAlignment="1" applyProtection="1">
      <alignment horizontal="right" wrapText="1"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8" fillId="5" borderId="0" xfId="0" applyFont="1" applyFill="1" applyAlignment="1" applyProtection="1">
      <alignment horizontal="left"/>
    </xf>
    <xf numFmtId="0" fontId="8" fillId="4" borderId="0" xfId="0" applyFont="1" applyFill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wrapText="1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164" fontId="11" fillId="0" borderId="0" xfId="0" applyNumberFormat="1" applyFont="1" applyBorder="1" applyAlignment="1" applyProtection="1">
      <alignment horizontal="right"/>
      <protection locked="0"/>
    </xf>
    <xf numFmtId="1" fontId="11" fillId="0" borderId="0" xfId="0" applyNumberFormat="1" applyFont="1" applyBorder="1" applyAlignment="1" applyProtection="1">
      <alignment horizontal="right"/>
      <protection locked="0"/>
    </xf>
    <xf numFmtId="164" fontId="11" fillId="0" borderId="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4" fontId="12" fillId="0" borderId="0" xfId="0" applyNumberFormat="1" applyFont="1" applyBorder="1" applyAlignment="1" applyProtection="1">
      <alignment horizontal="right" wrapText="1"/>
      <protection locked="0"/>
    </xf>
    <xf numFmtId="164" fontId="12" fillId="0" borderId="0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4" fillId="0" borderId="0" xfId="0" applyFont="1" applyAlignment="1" applyProtection="1">
      <alignment horizontal="right"/>
    </xf>
    <xf numFmtId="0" fontId="12" fillId="0" borderId="0" xfId="0" applyFont="1" applyProtection="1">
      <protection locked="0"/>
    </xf>
    <xf numFmtId="0" fontId="14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  <protection locked="0"/>
    </xf>
    <xf numFmtId="164" fontId="11" fillId="0" borderId="0" xfId="0" applyNumberFormat="1" applyFont="1" applyBorder="1" applyAlignment="1" applyProtection="1">
      <alignment horizontal="right"/>
      <protection locked="0"/>
    </xf>
    <xf numFmtId="1" fontId="11" fillId="0" borderId="0" xfId="0" applyNumberFormat="1" applyFont="1" applyBorder="1" applyAlignment="1" applyProtection="1">
      <alignment horizontal="right"/>
      <protection locked="0"/>
    </xf>
    <xf numFmtId="164" fontId="11" fillId="0" borderId="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4" fontId="12" fillId="0" borderId="0" xfId="0" applyNumberFormat="1" applyFont="1" applyBorder="1" applyAlignment="1" applyProtection="1">
      <alignment horizontal="right" wrapText="1"/>
      <protection locked="0"/>
    </xf>
    <xf numFmtId="164" fontId="12" fillId="0" borderId="0" xfId="0" applyNumberFormat="1" applyFont="1" applyBorder="1" applyAlignment="1" applyProtection="1">
      <alignment horizontal="right"/>
      <protection locked="0"/>
    </xf>
    <xf numFmtId="164" fontId="13" fillId="0" borderId="0" xfId="0" applyNumberFormat="1" applyFont="1" applyBorder="1" applyAlignment="1" applyProtection="1">
      <alignment horizontal="right"/>
    </xf>
    <xf numFmtId="164" fontId="14" fillId="0" borderId="0" xfId="0" applyNumberFormat="1" applyFont="1" applyAlignment="1" applyProtection="1">
      <alignment horizontal="right"/>
    </xf>
    <xf numFmtId="164" fontId="12" fillId="0" borderId="0" xfId="0" applyNumberFormat="1" applyFont="1" applyAlignment="1" applyProtection="1">
      <alignment horizontal="right"/>
      <protection locked="0"/>
    </xf>
    <xf numFmtId="2" fontId="14" fillId="0" borderId="0" xfId="0" applyNumberFormat="1" applyFont="1"/>
    <xf numFmtId="2" fontId="14" fillId="0" borderId="0" xfId="0" applyNumberFormat="1" applyFont="1" applyFill="1"/>
    <xf numFmtId="0" fontId="14" fillId="0" borderId="0" xfId="0" quotePrefix="1" applyFont="1"/>
    <xf numFmtId="164" fontId="14" fillId="0" borderId="0" xfId="0" quotePrefix="1" applyNumberFormat="1" applyFont="1"/>
    <xf numFmtId="164" fontId="14" fillId="0" borderId="0" xfId="0" applyNumberFormat="1" applyFont="1" applyFill="1" applyAlignment="1" applyProtection="1">
      <alignment horizontal="right" wrapText="1"/>
    </xf>
    <xf numFmtId="164" fontId="12" fillId="0" borderId="0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FF3300"/>
      <color rgb="FFD8E4B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92592592592591E-2"/>
          <c:y val="5.1400554097404488E-2"/>
          <c:w val="0.87953229804607758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Overview!$S$4</c:f>
              <c:strCache>
                <c:ptCount val="1"/>
                <c:pt idx="0">
                  <c:v>Current = (25-Tc)/20</c:v>
                </c:pt>
              </c:strCache>
            </c:strRef>
          </c:tx>
          <c:marker>
            <c:symbol val="none"/>
          </c:marker>
          <c:xVal>
            <c:numRef>
              <c:f>Overview!$R$5:$R$40</c:f>
              <c:numCache>
                <c:formatCode>General</c:formatCode>
                <c:ptCount val="36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</c:numCache>
            </c:numRef>
          </c:xVal>
          <c:yVal>
            <c:numRef>
              <c:f>Overview!$S$5:$S$40</c:f>
              <c:numCache>
                <c:formatCode>General</c:formatCode>
                <c:ptCount val="36"/>
                <c:pt idx="0">
                  <c:v>2.15</c:v>
                </c:pt>
                <c:pt idx="1">
                  <c:v>2.1</c:v>
                </c:pt>
                <c:pt idx="2">
                  <c:v>2.0499999999999998</c:v>
                </c:pt>
                <c:pt idx="3">
                  <c:v>2</c:v>
                </c:pt>
                <c:pt idx="4">
                  <c:v>1.95</c:v>
                </c:pt>
                <c:pt idx="5">
                  <c:v>1.9</c:v>
                </c:pt>
                <c:pt idx="6">
                  <c:v>1.85</c:v>
                </c:pt>
                <c:pt idx="7">
                  <c:v>1.8</c:v>
                </c:pt>
                <c:pt idx="8">
                  <c:v>1.75</c:v>
                </c:pt>
                <c:pt idx="9">
                  <c:v>1.7</c:v>
                </c:pt>
                <c:pt idx="10">
                  <c:v>1.65</c:v>
                </c:pt>
                <c:pt idx="11">
                  <c:v>1.6</c:v>
                </c:pt>
                <c:pt idx="12">
                  <c:v>1.55</c:v>
                </c:pt>
                <c:pt idx="13">
                  <c:v>1.5</c:v>
                </c:pt>
                <c:pt idx="14">
                  <c:v>1.45</c:v>
                </c:pt>
                <c:pt idx="15">
                  <c:v>1.4</c:v>
                </c:pt>
                <c:pt idx="16">
                  <c:v>1.35</c:v>
                </c:pt>
                <c:pt idx="17">
                  <c:v>1.3</c:v>
                </c:pt>
                <c:pt idx="18">
                  <c:v>1.25</c:v>
                </c:pt>
                <c:pt idx="19">
                  <c:v>1.2</c:v>
                </c:pt>
                <c:pt idx="20">
                  <c:v>1.1499999999999999</c:v>
                </c:pt>
                <c:pt idx="21">
                  <c:v>1.1000000000000001</c:v>
                </c:pt>
                <c:pt idx="22">
                  <c:v>1.05</c:v>
                </c:pt>
                <c:pt idx="23">
                  <c:v>1</c:v>
                </c:pt>
                <c:pt idx="24">
                  <c:v>0.95</c:v>
                </c:pt>
                <c:pt idx="25">
                  <c:v>0.9</c:v>
                </c:pt>
                <c:pt idx="26">
                  <c:v>0.85</c:v>
                </c:pt>
                <c:pt idx="27">
                  <c:v>0.8</c:v>
                </c:pt>
                <c:pt idx="28">
                  <c:v>0.75</c:v>
                </c:pt>
                <c:pt idx="29">
                  <c:v>0.7</c:v>
                </c:pt>
                <c:pt idx="30">
                  <c:v>0.65</c:v>
                </c:pt>
                <c:pt idx="31">
                  <c:v>0.6</c:v>
                </c:pt>
                <c:pt idx="32">
                  <c:v>0.55000000000000004</c:v>
                </c:pt>
                <c:pt idx="33">
                  <c:v>0.5</c:v>
                </c:pt>
                <c:pt idx="34">
                  <c:v>0.45</c:v>
                </c:pt>
                <c:pt idx="35">
                  <c:v>0.4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Overview!$T$4</c:f>
              <c:strCache>
                <c:ptCount val="1"/>
                <c:pt idx="0">
                  <c:v>(25-Tc)/(25-4)</c:v>
                </c:pt>
              </c:strCache>
            </c:strRef>
          </c:tx>
          <c:marker>
            <c:symbol val="none"/>
          </c:marker>
          <c:xVal>
            <c:numRef>
              <c:f>Overview!$R$5:$R$40</c:f>
              <c:numCache>
                <c:formatCode>General</c:formatCode>
                <c:ptCount val="36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</c:numCache>
            </c:numRef>
          </c:xVal>
          <c:yVal>
            <c:numRef>
              <c:f>Overview!$T$5:$T$40</c:f>
              <c:numCache>
                <c:formatCode>0.00</c:formatCode>
                <c:ptCount val="36"/>
                <c:pt idx="0">
                  <c:v>2.0476190476190474</c:v>
                </c:pt>
                <c:pt idx="1">
                  <c:v>2</c:v>
                </c:pt>
                <c:pt idx="2">
                  <c:v>1.9523809523809523</c:v>
                </c:pt>
                <c:pt idx="3">
                  <c:v>1.9047619047619047</c:v>
                </c:pt>
                <c:pt idx="4">
                  <c:v>1.8571428571428572</c:v>
                </c:pt>
                <c:pt idx="5">
                  <c:v>1.8095238095238095</c:v>
                </c:pt>
                <c:pt idx="6">
                  <c:v>1.7619047619047619</c:v>
                </c:pt>
                <c:pt idx="7">
                  <c:v>1.7142857142857142</c:v>
                </c:pt>
                <c:pt idx="8">
                  <c:v>1.6666666666666667</c:v>
                </c:pt>
                <c:pt idx="9">
                  <c:v>1.6190476190476191</c:v>
                </c:pt>
                <c:pt idx="10">
                  <c:v>1.5714285714285714</c:v>
                </c:pt>
                <c:pt idx="11">
                  <c:v>1.5238095238095237</c:v>
                </c:pt>
                <c:pt idx="12">
                  <c:v>1.4761904761904763</c:v>
                </c:pt>
                <c:pt idx="13">
                  <c:v>1.4285714285714286</c:v>
                </c:pt>
                <c:pt idx="14">
                  <c:v>1.3809523809523809</c:v>
                </c:pt>
                <c:pt idx="15">
                  <c:v>1.3333333333333333</c:v>
                </c:pt>
                <c:pt idx="16">
                  <c:v>1.2857142857142858</c:v>
                </c:pt>
                <c:pt idx="17">
                  <c:v>1.2380952380952381</c:v>
                </c:pt>
                <c:pt idx="18">
                  <c:v>1.1904761904761905</c:v>
                </c:pt>
                <c:pt idx="19">
                  <c:v>1.1428571428571428</c:v>
                </c:pt>
                <c:pt idx="20">
                  <c:v>1.0952380952380953</c:v>
                </c:pt>
                <c:pt idx="21">
                  <c:v>1.0476190476190477</c:v>
                </c:pt>
                <c:pt idx="22">
                  <c:v>1</c:v>
                </c:pt>
                <c:pt idx="23">
                  <c:v>0.95238095238095233</c:v>
                </c:pt>
                <c:pt idx="24">
                  <c:v>0.90476190476190477</c:v>
                </c:pt>
                <c:pt idx="25">
                  <c:v>0.8571428571428571</c:v>
                </c:pt>
                <c:pt idx="26">
                  <c:v>0.80952380952380953</c:v>
                </c:pt>
                <c:pt idx="27">
                  <c:v>0.76190476190476186</c:v>
                </c:pt>
                <c:pt idx="28">
                  <c:v>0.7142857142857143</c:v>
                </c:pt>
                <c:pt idx="29">
                  <c:v>0.66666666666666663</c:v>
                </c:pt>
                <c:pt idx="30">
                  <c:v>0.61904761904761907</c:v>
                </c:pt>
                <c:pt idx="31">
                  <c:v>0.5714285714285714</c:v>
                </c:pt>
                <c:pt idx="32">
                  <c:v>0.52380952380952384</c:v>
                </c:pt>
                <c:pt idx="33">
                  <c:v>0.47619047619047616</c:v>
                </c:pt>
                <c:pt idx="34">
                  <c:v>0.42857142857142855</c:v>
                </c:pt>
                <c:pt idx="35">
                  <c:v>0.38095238095238093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Overview!$V$4</c:f>
              <c:strCache>
                <c:ptCount val="1"/>
                <c:pt idx="0">
                  <c:v>F*(16-Tc)/(16-4)+(1-F)*(32-Tc)/(32-4)</c:v>
                </c:pt>
              </c:strCache>
            </c:strRef>
          </c:tx>
          <c:marker>
            <c:symbol val="none"/>
          </c:marker>
          <c:xVal>
            <c:numRef>
              <c:f>Overview!$R$5:$R$40</c:f>
              <c:numCache>
                <c:formatCode>General</c:formatCode>
                <c:ptCount val="36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</c:numCache>
            </c:numRef>
          </c:xVal>
          <c:yVal>
            <c:numRef>
              <c:f>Overview!$V$5:$V$40</c:f>
              <c:numCache>
                <c:formatCode>0.00</c:formatCode>
                <c:ptCount val="36"/>
                <c:pt idx="0">
                  <c:v>2.375</c:v>
                </c:pt>
                <c:pt idx="1">
                  <c:v>2.3125</c:v>
                </c:pt>
                <c:pt idx="2">
                  <c:v>2.25</c:v>
                </c:pt>
                <c:pt idx="3">
                  <c:v>2.1875</c:v>
                </c:pt>
                <c:pt idx="4">
                  <c:v>2.125</c:v>
                </c:pt>
                <c:pt idx="5">
                  <c:v>2.0625</c:v>
                </c:pt>
                <c:pt idx="6">
                  <c:v>2</c:v>
                </c:pt>
                <c:pt idx="7">
                  <c:v>1.9375</c:v>
                </c:pt>
                <c:pt idx="8">
                  <c:v>1.875</c:v>
                </c:pt>
                <c:pt idx="9">
                  <c:v>1.8125</c:v>
                </c:pt>
                <c:pt idx="10">
                  <c:v>1.75</c:v>
                </c:pt>
                <c:pt idx="11">
                  <c:v>1.6875</c:v>
                </c:pt>
                <c:pt idx="12">
                  <c:v>1.625</c:v>
                </c:pt>
                <c:pt idx="13">
                  <c:v>1.5625</c:v>
                </c:pt>
                <c:pt idx="14">
                  <c:v>1.5</c:v>
                </c:pt>
                <c:pt idx="15">
                  <c:v>1.4375</c:v>
                </c:pt>
                <c:pt idx="16">
                  <c:v>1.375</c:v>
                </c:pt>
                <c:pt idx="17">
                  <c:v>1.3125</c:v>
                </c:pt>
                <c:pt idx="18">
                  <c:v>1.25</c:v>
                </c:pt>
                <c:pt idx="19">
                  <c:v>1.1875</c:v>
                </c:pt>
                <c:pt idx="20">
                  <c:v>1.1190476190476191</c:v>
                </c:pt>
                <c:pt idx="21">
                  <c:v>1.0595238095238095</c:v>
                </c:pt>
                <c:pt idx="22">
                  <c:v>1</c:v>
                </c:pt>
                <c:pt idx="23">
                  <c:v>0.94047619047619047</c:v>
                </c:pt>
                <c:pt idx="24">
                  <c:v>0.88095238095238093</c:v>
                </c:pt>
                <c:pt idx="25">
                  <c:v>0.8214285714285714</c:v>
                </c:pt>
                <c:pt idx="26">
                  <c:v>0.76190476190476186</c:v>
                </c:pt>
                <c:pt idx="27">
                  <c:v>0.70238095238095233</c:v>
                </c:pt>
                <c:pt idx="28">
                  <c:v>0.64285714285714279</c:v>
                </c:pt>
                <c:pt idx="29">
                  <c:v>0.58333333333333337</c:v>
                </c:pt>
                <c:pt idx="30">
                  <c:v>0.52380952380952384</c:v>
                </c:pt>
                <c:pt idx="31">
                  <c:v>0.4642857142857143</c:v>
                </c:pt>
                <c:pt idx="32">
                  <c:v>0.40476190476190477</c:v>
                </c:pt>
                <c:pt idx="33">
                  <c:v>0.34523809523809523</c:v>
                </c:pt>
                <c:pt idx="34">
                  <c:v>0.2857142857142857</c:v>
                </c:pt>
                <c:pt idx="35">
                  <c:v>0.22619047619047619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Overview!$X$4</c:f>
              <c:strCache>
                <c:ptCount val="1"/>
                <c:pt idx="0">
                  <c:v>(Tka-Tc)/(Tka-4), Tka=25</c:v>
                </c:pt>
              </c:strCache>
            </c:strRef>
          </c:tx>
          <c:marker>
            <c:symbol val="none"/>
          </c:marker>
          <c:xVal>
            <c:numRef>
              <c:f>Overview!$R$5:$R$40</c:f>
              <c:numCache>
                <c:formatCode>General</c:formatCode>
                <c:ptCount val="36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</c:numCache>
            </c:numRef>
          </c:xVal>
          <c:yVal>
            <c:numRef>
              <c:f>Overview!$X$5:$X$40</c:f>
              <c:numCache>
                <c:formatCode>General</c:formatCode>
                <c:ptCount val="36"/>
                <c:pt idx="0">
                  <c:v>2.0476190476190474</c:v>
                </c:pt>
                <c:pt idx="1">
                  <c:v>2</c:v>
                </c:pt>
                <c:pt idx="2">
                  <c:v>1.9523809523809523</c:v>
                </c:pt>
                <c:pt idx="3">
                  <c:v>1.9047619047619047</c:v>
                </c:pt>
                <c:pt idx="4">
                  <c:v>1.8571428571428572</c:v>
                </c:pt>
                <c:pt idx="5">
                  <c:v>1.8095238095238095</c:v>
                </c:pt>
                <c:pt idx="6">
                  <c:v>1.7619047619047619</c:v>
                </c:pt>
                <c:pt idx="7">
                  <c:v>1.7142857142857142</c:v>
                </c:pt>
                <c:pt idx="8">
                  <c:v>1.6666666666666667</c:v>
                </c:pt>
                <c:pt idx="9">
                  <c:v>1.6190476190476191</c:v>
                </c:pt>
                <c:pt idx="10">
                  <c:v>1.5714285714285714</c:v>
                </c:pt>
                <c:pt idx="11">
                  <c:v>1.5238095238095237</c:v>
                </c:pt>
                <c:pt idx="12">
                  <c:v>1.4761904761904763</c:v>
                </c:pt>
                <c:pt idx="13">
                  <c:v>1.4285714285714286</c:v>
                </c:pt>
                <c:pt idx="14">
                  <c:v>1.3809523809523809</c:v>
                </c:pt>
                <c:pt idx="15">
                  <c:v>1.3333333333333333</c:v>
                </c:pt>
                <c:pt idx="16">
                  <c:v>1.2857142857142858</c:v>
                </c:pt>
                <c:pt idx="17">
                  <c:v>1.2380952380952381</c:v>
                </c:pt>
                <c:pt idx="18">
                  <c:v>1.1904761904761905</c:v>
                </c:pt>
                <c:pt idx="19">
                  <c:v>1.1428571428571428</c:v>
                </c:pt>
                <c:pt idx="20">
                  <c:v>1.0952380952380953</c:v>
                </c:pt>
                <c:pt idx="21">
                  <c:v>1.0476190476190477</c:v>
                </c:pt>
                <c:pt idx="22">
                  <c:v>1</c:v>
                </c:pt>
                <c:pt idx="23">
                  <c:v>0.95238095238095233</c:v>
                </c:pt>
                <c:pt idx="24">
                  <c:v>0.90476190476190477</c:v>
                </c:pt>
                <c:pt idx="25">
                  <c:v>0.8571428571428571</c:v>
                </c:pt>
                <c:pt idx="26">
                  <c:v>0.80952380952380953</c:v>
                </c:pt>
                <c:pt idx="27">
                  <c:v>0.76190476190476186</c:v>
                </c:pt>
                <c:pt idx="28">
                  <c:v>0.7142857142857143</c:v>
                </c:pt>
                <c:pt idx="29">
                  <c:v>0.66666666666666663</c:v>
                </c:pt>
                <c:pt idx="30">
                  <c:v>0.61904761904761907</c:v>
                </c:pt>
                <c:pt idx="31">
                  <c:v>0.5714285714285714</c:v>
                </c:pt>
                <c:pt idx="32">
                  <c:v>0.52380952380952384</c:v>
                </c:pt>
                <c:pt idx="33">
                  <c:v>0.47619047619047616</c:v>
                </c:pt>
                <c:pt idx="34">
                  <c:v>0.42857142857142855</c:v>
                </c:pt>
                <c:pt idx="35">
                  <c:v>0.38095238095238093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317504"/>
        <c:axId val="153799296"/>
      </c:scatterChart>
      <c:valAx>
        <c:axId val="1513175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Target temperature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3799296"/>
        <c:crosses val="autoZero"/>
        <c:crossBetween val="midCat"/>
      </c:valAx>
      <c:valAx>
        <c:axId val="153799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scale factor in adjusted volume formula [-]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317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357759572982671"/>
          <c:y val="4.00878255602665E-2"/>
          <c:w val="0.31211149111411579"/>
          <c:h val="0.3338647284474055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</c:marker>
          <c:dLbls>
            <c:dLbl>
              <c:idx val="0"/>
              <c:layout/>
              <c:tx>
                <c:strRef>
                  <c:f>DB!$B$47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DB!$B$48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DB!$B$49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DB!$B$50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DB!$B$51</c:f>
                  <c:strCache>
                    <c:ptCount val="1"/>
                    <c:pt idx="0">
                      <c:v>5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DB!$B$52</c:f>
                  <c:strCache>
                    <c:ptCount val="1"/>
                    <c:pt idx="0">
                      <c:v>6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DB!$B$53</c:f>
                  <c:strCache>
                    <c:ptCount val="1"/>
                    <c:pt idx="0">
                      <c:v>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DB!$B$54</c:f>
                  <c:strCache>
                    <c:ptCount val="1"/>
                    <c:pt idx="0">
                      <c:v>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DB!$B$55</c:f>
                  <c:strCache>
                    <c:ptCount val="1"/>
                    <c:pt idx="0">
                      <c:v>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DB!$B$56</c:f>
                  <c:strCache>
                    <c:ptCount val="1"/>
                    <c:pt idx="0">
                      <c:v>10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DB!$B$57</c:f>
                  <c:strCache>
                    <c:ptCount val="1"/>
                    <c:pt idx="0">
                      <c:v>11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DB!$B$58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DB!$B$59</c:f>
                  <c:strCache>
                    <c:ptCount val="1"/>
                    <c:pt idx="0">
                      <c:v>13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DB!$B$60</c:f>
                  <c:strCache>
                    <c:ptCount val="1"/>
                    <c:pt idx="0">
                      <c:v>14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DB!$B$61</c:f>
                  <c:strCache>
                    <c:ptCount val="1"/>
                    <c:pt idx="0">
                      <c:v>15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DB!$B$62</c:f>
                  <c:strCache>
                    <c:ptCount val="1"/>
                    <c:pt idx="0">
                      <c:v>16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DB!$BZ$47:$BZ$62</c:f>
              <c:numCache>
                <c:formatCode>0.00</c:formatCode>
                <c:ptCount val="16"/>
                <c:pt idx="0">
                  <c:v>0.42195367573011078</c:v>
                </c:pt>
                <c:pt idx="1">
                  <c:v>0.51963746223564955</c:v>
                </c:pt>
                <c:pt idx="2">
                  <c:v>0.40479876160990713</c:v>
                </c:pt>
                <c:pt idx="3">
                  <c:v>0.47935071464483225</c:v>
                </c:pt>
                <c:pt idx="4">
                  <c:v>0.45912402575398165</c:v>
                </c:pt>
                <c:pt idx="5">
                  <c:v>0.4384525205158265</c:v>
                </c:pt>
                <c:pt idx="6">
                  <c:v>0.38883107873742623</c:v>
                </c:pt>
                <c:pt idx="7">
                  <c:v>0.48044558181544489</c:v>
                </c:pt>
                <c:pt idx="8">
                  <c:v>0.50875273522975928</c:v>
                </c:pt>
                <c:pt idx="9">
                  <c:v>0.4445479962721342</c:v>
                </c:pt>
                <c:pt idx="10">
                  <c:v>0.51829268292682928</c:v>
                </c:pt>
                <c:pt idx="11">
                  <c:v>0.4050632911392405</c:v>
                </c:pt>
                <c:pt idx="12">
                  <c:v>0.51548451548451546</c:v>
                </c:pt>
                <c:pt idx="13">
                  <c:v>0.42663656884875845</c:v>
                </c:pt>
                <c:pt idx="14">
                  <c:v>0.42494929006085191</c:v>
                </c:pt>
                <c:pt idx="15">
                  <c:v>0.41763341067285381</c:v>
                </c:pt>
              </c:numCache>
            </c:numRef>
          </c:xVal>
          <c:yVal>
            <c:numRef>
              <c:f>DB!$BH$47:$BH$62</c:f>
              <c:numCache>
                <c:formatCode>0.0</c:formatCode>
                <c:ptCount val="16"/>
                <c:pt idx="0">
                  <c:v>9.2599410898379979</c:v>
                </c:pt>
                <c:pt idx="1">
                  <c:v>5.6740097008892478</c:v>
                </c:pt>
                <c:pt idx="2">
                  <c:v>16.959914320685435</c:v>
                </c:pt>
                <c:pt idx="3">
                  <c:v>19.342463092463099</c:v>
                </c:pt>
                <c:pt idx="4">
                  <c:v>7.9652677929547169</c:v>
                </c:pt>
                <c:pt idx="5">
                  <c:v>2.6216108452950557</c:v>
                </c:pt>
                <c:pt idx="6">
                  <c:v>-0.97866854195968656</c:v>
                </c:pt>
                <c:pt idx="7">
                  <c:v>-0.63855013550135198</c:v>
                </c:pt>
                <c:pt idx="8">
                  <c:v>10.906105100463678</c:v>
                </c:pt>
                <c:pt idx="9">
                  <c:v>17.20779220779221</c:v>
                </c:pt>
                <c:pt idx="10">
                  <c:v>9.0327918170878458</c:v>
                </c:pt>
                <c:pt idx="11">
                  <c:v>14.583333333333334</c:v>
                </c:pt>
                <c:pt idx="12">
                  <c:v>6.1658815612382236</c:v>
                </c:pt>
                <c:pt idx="13">
                  <c:v>5.190174326465927</c:v>
                </c:pt>
                <c:pt idx="14">
                  <c:v>4.2284604519774014</c:v>
                </c:pt>
                <c:pt idx="15">
                  <c:v>8.0447247706422136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55840"/>
        <c:axId val="132757760"/>
      </c:scatterChart>
      <c:valAx>
        <c:axId val="132755840"/>
        <c:scaling>
          <c:orientation val="minMax"/>
          <c:max val="1.0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consumption at 16 C / Energy consumption at 32 C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32757760"/>
        <c:crosses val="autoZero"/>
        <c:crossBetween val="midCat"/>
        <c:majorUnit val="0.1"/>
      </c:valAx>
      <c:valAx>
        <c:axId val="132757760"/>
        <c:scaling>
          <c:orientation val="minMax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with EN62552 Energy Consumption [%]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275584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DB!$BZ$37:$BZ$62</c:f>
              <c:numCache>
                <c:formatCode>0.00</c:formatCode>
                <c:ptCount val="26"/>
                <c:pt idx="0">
                  <c:v>0.34206219312602293</c:v>
                </c:pt>
                <c:pt idx="1">
                  <c:v>0.45423728813559322</c:v>
                </c:pt>
                <c:pt idx="2">
                  <c:v>0.48219178082191783</c:v>
                </c:pt>
                <c:pt idx="3">
                  <c:v>0.34867256637168142</c:v>
                </c:pt>
                <c:pt idx="4">
                  <c:v>0.40025575447570333</c:v>
                </c:pt>
                <c:pt idx="5">
                  <c:v>0.40296662546353523</c:v>
                </c:pt>
                <c:pt idx="6">
                  <c:v>0.57816377171215882</c:v>
                </c:pt>
                <c:pt idx="7">
                  <c:v>0.46767050487156775</c:v>
                </c:pt>
                <c:pt idx="8">
                  <c:v>0.37055214723926383</c:v>
                </c:pt>
                <c:pt idx="10">
                  <c:v>0.42195367573011078</c:v>
                </c:pt>
                <c:pt idx="11">
                  <c:v>0.51963746223564955</c:v>
                </c:pt>
                <c:pt idx="12">
                  <c:v>0.40479876160990713</c:v>
                </c:pt>
                <c:pt idx="13">
                  <c:v>0.47935071464483225</c:v>
                </c:pt>
                <c:pt idx="14">
                  <c:v>0.45912402575398165</c:v>
                </c:pt>
                <c:pt idx="15">
                  <c:v>0.4384525205158265</c:v>
                </c:pt>
                <c:pt idx="16">
                  <c:v>0.38883107873742623</c:v>
                </c:pt>
                <c:pt idx="17">
                  <c:v>0.48044558181544489</c:v>
                </c:pt>
                <c:pt idx="18">
                  <c:v>0.50875273522975928</c:v>
                </c:pt>
                <c:pt idx="19">
                  <c:v>0.4445479962721342</c:v>
                </c:pt>
                <c:pt idx="20">
                  <c:v>0.51829268292682928</c:v>
                </c:pt>
                <c:pt idx="21">
                  <c:v>0.4050632911392405</c:v>
                </c:pt>
                <c:pt idx="22">
                  <c:v>0.51548451548451546</c:v>
                </c:pt>
                <c:pt idx="23">
                  <c:v>0.42663656884875845</c:v>
                </c:pt>
                <c:pt idx="24">
                  <c:v>0.42494929006085191</c:v>
                </c:pt>
                <c:pt idx="25">
                  <c:v>0.41763341067285381</c:v>
                </c:pt>
              </c:numCache>
            </c:numRef>
          </c:xVal>
          <c:yVal>
            <c:numRef>
              <c:f>DB!$BH$37:$BH$62</c:f>
              <c:numCache>
                <c:formatCode>0.0</c:formatCode>
                <c:ptCount val="26"/>
                <c:pt idx="0">
                  <c:v>3.1101895734597154</c:v>
                </c:pt>
                <c:pt idx="1">
                  <c:v>9.5426829268292686</c:v>
                </c:pt>
                <c:pt idx="2">
                  <c:v>-1.1164623467600701</c:v>
                </c:pt>
                <c:pt idx="3">
                  <c:v>12.849162011173185</c:v>
                </c:pt>
                <c:pt idx="4">
                  <c:v>3.9301801801801801</c:v>
                </c:pt>
                <c:pt idx="5">
                  <c:v>-2.4979608482871125</c:v>
                </c:pt>
                <c:pt idx="6">
                  <c:v>12.350427350427351</c:v>
                </c:pt>
                <c:pt idx="7">
                  <c:v>38.792067307692307</c:v>
                </c:pt>
                <c:pt idx="8">
                  <c:v>16.481755424063117</c:v>
                </c:pt>
                <c:pt idx="9" formatCode="General">
                  <c:v>0</c:v>
                </c:pt>
                <c:pt idx="10">
                  <c:v>9.2599410898379979</c:v>
                </c:pt>
                <c:pt idx="11">
                  <c:v>5.6740097008892478</c:v>
                </c:pt>
                <c:pt idx="12">
                  <c:v>16.959914320685435</c:v>
                </c:pt>
                <c:pt idx="13">
                  <c:v>19.342463092463099</c:v>
                </c:pt>
                <c:pt idx="14">
                  <c:v>7.9652677929547169</c:v>
                </c:pt>
                <c:pt idx="15">
                  <c:v>2.6216108452950557</c:v>
                </c:pt>
                <c:pt idx="16">
                  <c:v>-0.97866854195968656</c:v>
                </c:pt>
                <c:pt idx="17">
                  <c:v>-0.63855013550135198</c:v>
                </c:pt>
                <c:pt idx="18">
                  <c:v>10.906105100463678</c:v>
                </c:pt>
                <c:pt idx="19">
                  <c:v>17.20779220779221</c:v>
                </c:pt>
                <c:pt idx="20">
                  <c:v>9.0327918170878458</c:v>
                </c:pt>
                <c:pt idx="21">
                  <c:v>14.583333333333334</c:v>
                </c:pt>
                <c:pt idx="22">
                  <c:v>6.1658815612382236</c:v>
                </c:pt>
                <c:pt idx="23">
                  <c:v>5.190174326465927</c:v>
                </c:pt>
                <c:pt idx="24">
                  <c:v>4.2284604519774014</c:v>
                </c:pt>
                <c:pt idx="25">
                  <c:v>8.0447247706422136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019328"/>
        <c:axId val="137274496"/>
      </c:scatterChart>
      <c:valAx>
        <c:axId val="1360193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7274496"/>
        <c:crosses val="autoZero"/>
        <c:crossBetween val="midCat"/>
      </c:valAx>
      <c:valAx>
        <c:axId val="13727449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6019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86963576455602E-2"/>
          <c:y val="2.7489987255354769E-2"/>
          <c:w val="0.846007619302793"/>
          <c:h val="0.8802619427190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DB!$BI$1</c:f>
              <c:strCache>
                <c:ptCount val="1"/>
                <c:pt idx="0">
                  <c:v>25.0°C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DB!$BN$4:$BN$83</c:f>
              <c:strCache>
                <c:ptCount val="80"/>
                <c:pt idx="3">
                  <c:v>Cat 1..3</c:v>
                </c:pt>
                <c:pt idx="18">
                  <c:v>Cat 7-I</c:v>
                </c:pt>
                <c:pt idx="37">
                  <c:v>Cat 7-II-Static</c:v>
                </c:pt>
                <c:pt idx="50">
                  <c:v>Cat 7-II-NF</c:v>
                </c:pt>
                <c:pt idx="62">
                  <c:v>Cat 8-Static</c:v>
                </c:pt>
                <c:pt idx="71">
                  <c:v>Cat 8-NF</c:v>
                </c:pt>
                <c:pt idx="79">
                  <c:v>Cat 9</c:v>
                </c:pt>
              </c:strCache>
            </c:strRef>
          </c:cat>
          <c:val>
            <c:numRef>
              <c:f>DB!$BH$4:$BH$83</c:f>
              <c:numCache>
                <c:formatCode>0.0</c:formatCode>
                <c:ptCount val="80"/>
                <c:pt idx="0" formatCode="General">
                  <c:v>0</c:v>
                </c:pt>
                <c:pt idx="1">
                  <c:v>22.126116071428573</c:v>
                </c:pt>
                <c:pt idx="2">
                  <c:v>17.006340579710145</c:v>
                </c:pt>
                <c:pt idx="3">
                  <c:v>20.100000000000001</c:v>
                </c:pt>
                <c:pt idx="4">
                  <c:v>22.95809659090909</c:v>
                </c:pt>
                <c:pt idx="5">
                  <c:v>11.685667752442995</c:v>
                </c:pt>
                <c:pt idx="6" formatCode="General">
                  <c:v>0</c:v>
                </c:pt>
                <c:pt idx="7">
                  <c:v>12.759643916913946</c:v>
                </c:pt>
                <c:pt idx="8">
                  <c:v>33.653846153846153</c:v>
                </c:pt>
                <c:pt idx="9">
                  <c:v>74.96675531914893</c:v>
                </c:pt>
                <c:pt idx="10">
                  <c:v>25.149760383386582</c:v>
                </c:pt>
                <c:pt idx="11">
                  <c:v>11.330101180438449</c:v>
                </c:pt>
                <c:pt idx="12">
                  <c:v>39.572102425876011</c:v>
                </c:pt>
                <c:pt idx="13">
                  <c:v>31.3556338028169</c:v>
                </c:pt>
                <c:pt idx="14">
                  <c:v>34.769303201506588</c:v>
                </c:pt>
                <c:pt idx="15">
                  <c:v>22.201492537313435</c:v>
                </c:pt>
                <c:pt idx="16">
                  <c:v>22.828148710166921</c:v>
                </c:pt>
                <c:pt idx="17">
                  <c:v>32.63565891472868</c:v>
                </c:pt>
                <c:pt idx="18">
                  <c:v>39.46078431372549</c:v>
                </c:pt>
                <c:pt idx="19">
                  <c:v>15.407571623465211</c:v>
                </c:pt>
                <c:pt idx="20">
                  <c:v>26.340051457975989</c:v>
                </c:pt>
                <c:pt idx="21">
                  <c:v>33.252288329519452</c:v>
                </c:pt>
                <c:pt idx="22">
                  <c:v>56.273584905660378</c:v>
                </c:pt>
                <c:pt idx="23">
                  <c:v>29.188931297709924</c:v>
                </c:pt>
                <c:pt idx="24">
                  <c:v>12.812934631432546</c:v>
                </c:pt>
                <c:pt idx="25">
                  <c:v>19.569970845481048</c:v>
                </c:pt>
                <c:pt idx="26">
                  <c:v>36.473087818696889</c:v>
                </c:pt>
                <c:pt idx="27">
                  <c:v>19.426369863013697</c:v>
                </c:pt>
                <c:pt idx="28">
                  <c:v>19.175119331742245</c:v>
                </c:pt>
                <c:pt idx="29">
                  <c:v>18.742058449809402</c:v>
                </c:pt>
                <c:pt idx="30">
                  <c:v>17.481203007518797</c:v>
                </c:pt>
                <c:pt idx="31">
                  <c:v>17.854361370716511</c:v>
                </c:pt>
                <c:pt idx="32" formatCode="General">
                  <c:v>0</c:v>
                </c:pt>
                <c:pt idx="33">
                  <c:v>3.1101895734597154</c:v>
                </c:pt>
                <c:pt idx="34">
                  <c:v>9.5426829268292686</c:v>
                </c:pt>
                <c:pt idx="35">
                  <c:v>-1.1164623467600701</c:v>
                </c:pt>
                <c:pt idx="36">
                  <c:v>12.849162011173185</c:v>
                </c:pt>
                <c:pt idx="37">
                  <c:v>3.9301801801801801</c:v>
                </c:pt>
                <c:pt idx="38">
                  <c:v>-2.4979608482871125</c:v>
                </c:pt>
                <c:pt idx="39">
                  <c:v>12.350427350427351</c:v>
                </c:pt>
                <c:pt idx="40">
                  <c:v>38.792067307692307</c:v>
                </c:pt>
                <c:pt idx="41">
                  <c:v>16.481755424063117</c:v>
                </c:pt>
                <c:pt idx="42" formatCode="General">
                  <c:v>0</c:v>
                </c:pt>
                <c:pt idx="43">
                  <c:v>9.2599410898379979</c:v>
                </c:pt>
                <c:pt idx="44">
                  <c:v>5.6740097008892478</c:v>
                </c:pt>
                <c:pt idx="45">
                  <c:v>16.959914320685435</c:v>
                </c:pt>
                <c:pt idx="46">
                  <c:v>19.342463092463099</c:v>
                </c:pt>
                <c:pt idx="47">
                  <c:v>7.9652677929547169</c:v>
                </c:pt>
                <c:pt idx="48">
                  <c:v>2.6216108452950557</c:v>
                </c:pt>
                <c:pt idx="49">
                  <c:v>-0.97866854195968656</c:v>
                </c:pt>
                <c:pt idx="50">
                  <c:v>-0.63855013550135198</c:v>
                </c:pt>
                <c:pt idx="51">
                  <c:v>10.906105100463678</c:v>
                </c:pt>
                <c:pt idx="52">
                  <c:v>17.20779220779221</c:v>
                </c:pt>
                <c:pt idx="53">
                  <c:v>9.0327918170878458</c:v>
                </c:pt>
                <c:pt idx="54">
                  <c:v>14.583333333333334</c:v>
                </c:pt>
                <c:pt idx="55">
                  <c:v>6.1658815612382236</c:v>
                </c:pt>
                <c:pt idx="56">
                  <c:v>5.190174326465927</c:v>
                </c:pt>
                <c:pt idx="57">
                  <c:v>4.2284604519774014</c:v>
                </c:pt>
                <c:pt idx="58">
                  <c:v>8.0447247706422136</c:v>
                </c:pt>
                <c:pt idx="59" formatCode="General">
                  <c:v>0</c:v>
                </c:pt>
                <c:pt idx="60">
                  <c:v>-3.0665280665280665</c:v>
                </c:pt>
                <c:pt idx="61">
                  <c:v>-9.7949604743083007</c:v>
                </c:pt>
                <c:pt idx="62">
                  <c:v>-11.321107784431138</c:v>
                </c:pt>
                <c:pt idx="63">
                  <c:v>9.9652777777777786</c:v>
                </c:pt>
                <c:pt idx="64">
                  <c:v>9.6255896226415096</c:v>
                </c:pt>
                <c:pt idx="65" formatCode="General">
                  <c:v>0</c:v>
                </c:pt>
                <c:pt idx="66">
                  <c:v>3.4084673505057159</c:v>
                </c:pt>
                <c:pt idx="67">
                  <c:v>2.7116734993024361</c:v>
                </c:pt>
                <c:pt idx="68">
                  <c:v>11.606566850027889</c:v>
                </c:pt>
                <c:pt idx="69">
                  <c:v>-3.2208588957055215</c:v>
                </c:pt>
                <c:pt idx="70">
                  <c:v>2.4065540194572392</c:v>
                </c:pt>
                <c:pt idx="71">
                  <c:v>9.003267973856202</c:v>
                </c:pt>
                <c:pt idx="72">
                  <c:v>-4.6848381601362865</c:v>
                </c:pt>
                <c:pt idx="73">
                  <c:v>0.81928838951310856</c:v>
                </c:pt>
                <c:pt idx="74">
                  <c:v>8.1536856745479831</c:v>
                </c:pt>
                <c:pt idx="75">
                  <c:v>-0.48890063424947144</c:v>
                </c:pt>
                <c:pt idx="76">
                  <c:v>-4.3789308176100628</c:v>
                </c:pt>
                <c:pt idx="77" formatCode="General">
                  <c:v>0</c:v>
                </c:pt>
                <c:pt idx="78">
                  <c:v>-1.6379310344827587</c:v>
                </c:pt>
                <c:pt idx="79">
                  <c:v>-3.0235162374020157</c:v>
                </c:pt>
              </c:numCache>
            </c:numRef>
          </c:val>
        </c:ser>
        <c:ser>
          <c:idx val="3"/>
          <c:order val="1"/>
          <c:tx>
            <c:strRef>
              <c:f>DB!#REF!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  <a:prstDash val="dash"/>
            </a:ln>
          </c:spPr>
          <c:invertIfNegative val="0"/>
          <c:cat>
            <c:strRef>
              <c:f>DB!$BN$4:$BN$83</c:f>
              <c:strCache>
                <c:ptCount val="80"/>
                <c:pt idx="3">
                  <c:v>Cat 1..3</c:v>
                </c:pt>
                <c:pt idx="18">
                  <c:v>Cat 7-I</c:v>
                </c:pt>
                <c:pt idx="37">
                  <c:v>Cat 7-II-Static</c:v>
                </c:pt>
                <c:pt idx="50">
                  <c:v>Cat 7-II-NF</c:v>
                </c:pt>
                <c:pt idx="62">
                  <c:v>Cat 8-Static</c:v>
                </c:pt>
                <c:pt idx="71">
                  <c:v>Cat 8-NF</c:v>
                </c:pt>
                <c:pt idx="79">
                  <c:v>Cat 9</c:v>
                </c:pt>
              </c:strCache>
            </c:strRef>
          </c:cat>
          <c:val>
            <c:numRef>
              <c:f>DB!$BQ$4:$BQ$83</c:f>
              <c:numCache>
                <c:formatCode>General</c:formatCode>
                <c:ptCount val="80"/>
                <c:pt idx="0">
                  <c:v>-100</c:v>
                </c:pt>
                <c:pt idx="6">
                  <c:v>-100</c:v>
                </c:pt>
                <c:pt idx="32">
                  <c:v>-100</c:v>
                </c:pt>
                <c:pt idx="42">
                  <c:v>-100</c:v>
                </c:pt>
                <c:pt idx="59">
                  <c:v>-100</c:v>
                </c:pt>
                <c:pt idx="65">
                  <c:v>-100</c:v>
                </c:pt>
                <c:pt idx="77">
                  <c:v>-100</c:v>
                </c:pt>
              </c:numCache>
            </c:numRef>
          </c:val>
        </c:ser>
        <c:ser>
          <c:idx val="2"/>
          <c:order val="4"/>
          <c:tx>
            <c:strRef>
              <c:f>DB!#REF!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9525">
              <a:noFill/>
              <a:prstDash val="dash"/>
            </a:ln>
          </c:spPr>
          <c:invertIfNegative val="0"/>
          <c:cat>
            <c:strRef>
              <c:f>DB!$BN$4:$BN$83</c:f>
              <c:strCache>
                <c:ptCount val="80"/>
                <c:pt idx="3">
                  <c:v>Cat 1..3</c:v>
                </c:pt>
                <c:pt idx="18">
                  <c:v>Cat 7-I</c:v>
                </c:pt>
                <c:pt idx="37">
                  <c:v>Cat 7-II-Static</c:v>
                </c:pt>
                <c:pt idx="50">
                  <c:v>Cat 7-II-NF</c:v>
                </c:pt>
                <c:pt idx="62">
                  <c:v>Cat 8-Static</c:v>
                </c:pt>
                <c:pt idx="71">
                  <c:v>Cat 8-NF</c:v>
                </c:pt>
                <c:pt idx="79">
                  <c:v>Cat 9</c:v>
                </c:pt>
              </c:strCache>
            </c:strRef>
          </c:cat>
          <c:val>
            <c:numRef>
              <c:f>DB!$BP$4:$BP$83</c:f>
              <c:numCache>
                <c:formatCode>General</c:formatCode>
                <c:ptCount val="80"/>
                <c:pt idx="0">
                  <c:v>100</c:v>
                </c:pt>
                <c:pt idx="6">
                  <c:v>100</c:v>
                </c:pt>
                <c:pt idx="32">
                  <c:v>100</c:v>
                </c:pt>
                <c:pt idx="42">
                  <c:v>100</c:v>
                </c:pt>
                <c:pt idx="59">
                  <c:v>100</c:v>
                </c:pt>
                <c:pt idx="65">
                  <c:v>100</c:v>
                </c:pt>
                <c:pt idx="7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2"/>
        <c:overlap val="-45"/>
        <c:axId val="46132608"/>
        <c:axId val="46134400"/>
      </c:barChart>
      <c:lineChart>
        <c:grouping val="standard"/>
        <c:varyColors val="0"/>
        <c:ser>
          <c:idx val="4"/>
          <c:order val="2"/>
          <c:tx>
            <c:v>Index</c:v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FF3399"/>
              </a:solidFill>
              <a:ln>
                <a:noFill/>
              </a:ln>
            </c:spPr>
          </c:marker>
          <c:cat>
            <c:strRef>
              <c:f>DB!$BN$4:$BN$83</c:f>
              <c:strCache>
                <c:ptCount val="80"/>
                <c:pt idx="3">
                  <c:v>Cat 1..3</c:v>
                </c:pt>
                <c:pt idx="18">
                  <c:v>Cat 7-I</c:v>
                </c:pt>
                <c:pt idx="37">
                  <c:v>Cat 7-II-Static</c:v>
                </c:pt>
                <c:pt idx="50">
                  <c:v>Cat 7-II-NF</c:v>
                </c:pt>
                <c:pt idx="62">
                  <c:v>Cat 8-Static</c:v>
                </c:pt>
                <c:pt idx="71">
                  <c:v>Cat 8-NF</c:v>
                </c:pt>
                <c:pt idx="79">
                  <c:v>Cat 9</c:v>
                </c:pt>
              </c:strCache>
            </c:strRef>
          </c:cat>
          <c:val>
            <c:numRef>
              <c:f>DB!$BO$4:$BO$83</c:f>
              <c:numCache>
                <c:formatCode>General</c:formatCode>
                <c:ptCount val="80"/>
                <c:pt idx="1">
                  <c:v>21</c:v>
                </c:pt>
                <c:pt idx="2">
                  <c:v>29</c:v>
                </c:pt>
                <c:pt idx="3">
                  <c:v>30</c:v>
                </c:pt>
                <c:pt idx="4">
                  <c:v>41</c:v>
                </c:pt>
                <c:pt idx="5">
                  <c:v>33</c:v>
                </c:pt>
                <c:pt idx="7">
                  <c:v>23</c:v>
                </c:pt>
                <c:pt idx="8">
                  <c:v>31</c:v>
                </c:pt>
                <c:pt idx="9">
                  <c:v>33</c:v>
                </c:pt>
                <c:pt idx="10">
                  <c:v>33</c:v>
                </c:pt>
                <c:pt idx="11">
                  <c:v>36</c:v>
                </c:pt>
                <c:pt idx="12">
                  <c:v>28</c:v>
                </c:pt>
                <c:pt idx="13">
                  <c:v>22</c:v>
                </c:pt>
                <c:pt idx="14">
                  <c:v>31</c:v>
                </c:pt>
                <c:pt idx="15">
                  <c:v>33</c:v>
                </c:pt>
                <c:pt idx="16">
                  <c:v>31</c:v>
                </c:pt>
                <c:pt idx="17">
                  <c:v>43</c:v>
                </c:pt>
                <c:pt idx="18">
                  <c:v>41</c:v>
                </c:pt>
                <c:pt idx="19">
                  <c:v>43</c:v>
                </c:pt>
                <c:pt idx="20">
                  <c:v>47</c:v>
                </c:pt>
                <c:pt idx="21">
                  <c:v>32</c:v>
                </c:pt>
                <c:pt idx="22">
                  <c:v>21</c:v>
                </c:pt>
                <c:pt idx="23">
                  <c:v>36</c:v>
                </c:pt>
                <c:pt idx="24">
                  <c:v>38</c:v>
                </c:pt>
                <c:pt idx="25">
                  <c:v>35</c:v>
                </c:pt>
                <c:pt idx="26">
                  <c:v>28</c:v>
                </c:pt>
                <c:pt idx="27">
                  <c:v>43</c:v>
                </c:pt>
                <c:pt idx="28">
                  <c:v>45</c:v>
                </c:pt>
                <c:pt idx="29">
                  <c:v>43</c:v>
                </c:pt>
                <c:pt idx="30">
                  <c:v>44</c:v>
                </c:pt>
                <c:pt idx="31">
                  <c:v>37</c:v>
                </c:pt>
                <c:pt idx="33">
                  <c:v>22</c:v>
                </c:pt>
                <c:pt idx="34">
                  <c:v>23</c:v>
                </c:pt>
                <c:pt idx="35">
                  <c:v>31</c:v>
                </c:pt>
                <c:pt idx="36">
                  <c:v>19</c:v>
                </c:pt>
                <c:pt idx="37">
                  <c:v>33</c:v>
                </c:pt>
                <c:pt idx="38">
                  <c:v>33</c:v>
                </c:pt>
                <c:pt idx="39">
                  <c:v>35</c:v>
                </c:pt>
                <c:pt idx="40">
                  <c:v>33</c:v>
                </c:pt>
                <c:pt idx="43">
                  <c:v>32</c:v>
                </c:pt>
                <c:pt idx="44">
                  <c:v>40</c:v>
                </c:pt>
                <c:pt idx="45">
                  <c:v>44</c:v>
                </c:pt>
                <c:pt idx="46">
                  <c:v>32</c:v>
                </c:pt>
                <c:pt idx="47">
                  <c:v>31</c:v>
                </c:pt>
                <c:pt idx="48">
                  <c:v>33</c:v>
                </c:pt>
                <c:pt idx="49">
                  <c:v>36</c:v>
                </c:pt>
                <c:pt idx="50">
                  <c:v>31</c:v>
                </c:pt>
                <c:pt idx="51">
                  <c:v>30</c:v>
                </c:pt>
                <c:pt idx="52">
                  <c:v>31</c:v>
                </c:pt>
                <c:pt idx="53">
                  <c:v>31</c:v>
                </c:pt>
                <c:pt idx="54">
                  <c:v>21</c:v>
                </c:pt>
                <c:pt idx="55">
                  <c:v>37</c:v>
                </c:pt>
                <c:pt idx="56">
                  <c:v>32</c:v>
                </c:pt>
                <c:pt idx="57">
                  <c:v>32</c:v>
                </c:pt>
                <c:pt idx="58">
                  <c:v>31</c:v>
                </c:pt>
                <c:pt idx="60">
                  <c:v>38</c:v>
                </c:pt>
                <c:pt idx="61">
                  <c:v>44</c:v>
                </c:pt>
                <c:pt idx="62">
                  <c:v>46</c:v>
                </c:pt>
                <c:pt idx="63">
                  <c:v>32</c:v>
                </c:pt>
                <c:pt idx="64">
                  <c:v>24</c:v>
                </c:pt>
                <c:pt idx="66">
                  <c:v>21</c:v>
                </c:pt>
                <c:pt idx="67">
                  <c:v>22</c:v>
                </c:pt>
                <c:pt idx="68">
                  <c:v>29</c:v>
                </c:pt>
                <c:pt idx="69">
                  <c:v>47</c:v>
                </c:pt>
                <c:pt idx="70">
                  <c:v>35</c:v>
                </c:pt>
                <c:pt idx="71">
                  <c:v>22</c:v>
                </c:pt>
                <c:pt idx="72">
                  <c:v>34</c:v>
                </c:pt>
                <c:pt idx="73">
                  <c:v>19</c:v>
                </c:pt>
                <c:pt idx="74">
                  <c:v>25</c:v>
                </c:pt>
                <c:pt idx="75">
                  <c:v>22</c:v>
                </c:pt>
                <c:pt idx="76">
                  <c:v>47</c:v>
                </c:pt>
                <c:pt idx="78">
                  <c:v>34</c:v>
                </c:pt>
                <c:pt idx="79">
                  <c:v>43</c:v>
                </c:pt>
              </c:numCache>
            </c:numRef>
          </c:val>
          <c:smooth val="0"/>
        </c:ser>
        <c:ser>
          <c:idx val="0"/>
          <c:order val="3"/>
          <c:tx>
            <c:v>Averages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DB!$BR$4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DB!$BR$5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DB!$BR$6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DB!$BR$7</c:f>
                  <c:strCache>
                    <c:ptCount val="1"/>
                    <c:pt idx="0">
                      <c:v>18.8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DB!$BR$8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DB!$BR$9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DB!$BR$10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DB!$BR$11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DB!$BR$12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DB!$BR$13</c:f>
                  <c:strCache>
                    <c:ptCount val="1"/>
                    <c:pt idx="0">
                      <c:v>28.1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DB!$BR$14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DB!$BR$15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DB!$BR$16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DB!$BR$17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DB!$BR$18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DB!$BR$19</c:f>
                  <c:strCache>
                    <c:ptCount val="1"/>
                    <c:pt idx="0">
                      <c:v>filtered-&gt;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DB!$BR$20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DB!$BR$21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DB!$BR$22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DB!$BR$26</c:f>
                  <c:strCache>
                    <c:ptCount val="1"/>
                    <c:pt idx="0">
                      <c:v>19.3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DB!$BR$24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DB!$BR$25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delete val="1"/>
            </c:dLbl>
            <c:dLbl>
              <c:idx val="23"/>
              <c:layout/>
              <c:tx>
                <c:strRef>
                  <c:f>DB!$BR$27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DB!$BR$28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DB!$BR$29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DB!$BR$30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DB!$BR$31</c:f>
                  <c:strCache>
                    <c:ptCount val="1"/>
                    <c:pt idx="0">
                      <c:v>&lt;-- Averages  --&gt;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DB!$BR$32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DB!$BR$33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DB!$BR$34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DB!$BR$35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DB!$BR$36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DB!$BR$37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DB!$BR$38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DB!$BR$39</c:f>
                  <c:strCache>
                    <c:ptCount val="1"/>
                    <c:pt idx="0">
                      <c:v>10.4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DB!$BR$40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DB!$BR$41</c:f>
                  <c:strCache>
                    <c:ptCount val="1"/>
                    <c:pt idx="0">
                      <c:v>--&gt;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DB!$BR$42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DB!$BR$43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DB!$BR$44</c:f>
                  <c:strCache>
                    <c:ptCount val="1"/>
                    <c:pt idx="0">
                      <c:v>6.8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tx>
                <c:strRef>
                  <c:f>DB!$BR$45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DB!$BR$46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DB!$BR$47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DB!$BR$48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DB!$BR$49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6"/>
              <c:layout/>
              <c:tx>
                <c:strRef>
                  <c:f>DB!$BR$50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/>
              <c:tx>
                <c:strRef>
                  <c:f>DB!$BR$51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layout/>
              <c:tx>
                <c:strRef>
                  <c:f>DB!$BR$52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tx>
                <c:strRef>
                  <c:f>DB!$BR$53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tx>
                <c:strRef>
                  <c:f>DB!$BR$54</c:f>
                  <c:strCache>
                    <c:ptCount val="1"/>
                    <c:pt idx="0">
                      <c:v>8.5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layout/>
              <c:tx>
                <c:strRef>
                  <c:f>DB!$BR$55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/>
              <c:tx>
                <c:strRef>
                  <c:f>DB!$BR$56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3"/>
              <c:layout/>
              <c:tx>
                <c:strRef>
                  <c:f>DB!$BR$57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4"/>
              <c:layout/>
              <c:tx>
                <c:strRef>
                  <c:f>DB!$BR$58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layout/>
              <c:tx>
                <c:strRef>
                  <c:f>DB!$BR$59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6"/>
              <c:layout/>
              <c:tx>
                <c:strRef>
                  <c:f>DB!$BR$60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7"/>
              <c:tx>
                <c:strRef>
                  <c:f>DB!$BR$61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tx>
                <c:strRef>
                  <c:f>DB!$BR$62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tx>
                <c:strRef>
                  <c:f>DB!$BR$63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/>
              <c:tx>
                <c:strRef>
                  <c:f>DB!$BR$64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1"/>
              <c:layout/>
              <c:tx>
                <c:strRef>
                  <c:f>DB!$BR$65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/>
              <c:tx>
                <c:strRef>
                  <c:f>DB!$BR$66</c:f>
                  <c:strCache>
                    <c:ptCount val="1"/>
                    <c:pt idx="0">
                      <c:v>-0.9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layout/>
              <c:tx>
                <c:strRef>
                  <c:f>DB!$BR$67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4"/>
              <c:layout/>
              <c:tx>
                <c:strRef>
                  <c:f>DB!$BR$68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5"/>
              <c:layout/>
              <c:tx>
                <c:strRef>
                  <c:f>DB!$BR$69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6"/>
              <c:layout/>
              <c:tx>
                <c:strRef>
                  <c:f>DB!$BR$70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7"/>
              <c:layout/>
              <c:tx>
                <c:strRef>
                  <c:f>DB!$BR$71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8"/>
              <c:layout/>
              <c:tx>
                <c:strRef>
                  <c:f>DB!$BR$72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9"/>
              <c:layout/>
              <c:tx>
                <c:strRef>
                  <c:f>DB!$BR$73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0"/>
              <c:layout/>
              <c:tx>
                <c:strRef>
                  <c:f>DB!$BR$74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/>
              <c:tx>
                <c:strRef>
                  <c:f>DB!$BR$75</c:f>
                  <c:strCache>
                    <c:ptCount val="1"/>
                    <c:pt idx="0">
                      <c:v>2.3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tx>
                <c:strRef>
                  <c:f>DB!$BR$76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layout/>
              <c:tx>
                <c:strRef>
                  <c:f>DB!$BR$77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4"/>
              <c:layout/>
              <c:tx>
                <c:strRef>
                  <c:f>DB!$BR$78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5"/>
              <c:layout/>
              <c:tx>
                <c:strRef>
                  <c:f>DB!$BR$79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6"/>
              <c:tx>
                <c:strRef>
                  <c:f>DB!$BR$80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/>
              <c:tx>
                <c:strRef>
                  <c:f>DB!$BR$81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8"/>
              <c:layout/>
              <c:tx>
                <c:strRef>
                  <c:f>DB!$BR$82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9"/>
              <c:layout/>
              <c:tx>
                <c:strRef>
                  <c:f>DB!$BR$83</c:f>
                  <c:strCache>
                    <c:ptCount val="1"/>
                    <c:pt idx="0">
                      <c:v>-2.3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DB!$BN$4:$BN$83</c:f>
              <c:strCache>
                <c:ptCount val="80"/>
                <c:pt idx="3">
                  <c:v>Cat 1..3</c:v>
                </c:pt>
                <c:pt idx="18">
                  <c:v>Cat 7-I</c:v>
                </c:pt>
                <c:pt idx="37">
                  <c:v>Cat 7-II-Static</c:v>
                </c:pt>
                <c:pt idx="50">
                  <c:v>Cat 7-II-NF</c:v>
                </c:pt>
                <c:pt idx="62">
                  <c:v>Cat 8-Static</c:v>
                </c:pt>
                <c:pt idx="71">
                  <c:v>Cat 8-NF</c:v>
                </c:pt>
                <c:pt idx="79">
                  <c:v>Cat 9</c:v>
                </c:pt>
              </c:strCache>
            </c:strRef>
          </c:cat>
          <c:val>
            <c:numRef>
              <c:f>DB!$BS$4:$BS$83</c:f>
              <c:numCache>
                <c:formatCode>General</c:formatCode>
                <c:ptCount val="8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14304"/>
        <c:axId val="46136320"/>
      </c:lineChart>
      <c:catAx>
        <c:axId val="4613260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46134400"/>
        <c:crosses val="autoZero"/>
        <c:auto val="1"/>
        <c:lblAlgn val="ctr"/>
        <c:lblOffset val="100"/>
        <c:noMultiLvlLbl val="0"/>
      </c:catAx>
      <c:valAx>
        <c:axId val="46134400"/>
        <c:scaling>
          <c:orientation val="minMax"/>
          <c:max val="40"/>
          <c:min val="-2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with EN62552 Energy Consumption [%]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132608"/>
        <c:crosses val="autoZero"/>
        <c:crossBetween val="between"/>
        <c:majorUnit val="5"/>
      </c:valAx>
      <c:valAx>
        <c:axId val="46136320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Efficiency Index [%]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314304"/>
        <c:crosses val="max"/>
        <c:crossBetween val="between"/>
        <c:majorUnit val="15"/>
      </c:valAx>
      <c:catAx>
        <c:axId val="753143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13632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6184090062990855"/>
          <c:y val="4.3645509258606961E-2"/>
          <c:w val="9.7207458442694669E-2"/>
          <c:h val="7.7401461458013493E-2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86963576455602E-2"/>
          <c:y val="2.7489987255354769E-2"/>
          <c:w val="0.89696358267716525"/>
          <c:h val="0.88026194271908775"/>
        </c:manualLayout>
      </c:layout>
      <c:barChart>
        <c:barDir val="col"/>
        <c:grouping val="clustered"/>
        <c:varyColors val="0"/>
        <c:ser>
          <c:idx val="1"/>
          <c:order val="0"/>
          <c:tx>
            <c:v>Compartment 1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DB!$BN$4:$BN$83</c:f>
              <c:strCache>
                <c:ptCount val="80"/>
                <c:pt idx="3">
                  <c:v>Cat 1..3</c:v>
                </c:pt>
                <c:pt idx="18">
                  <c:v>Cat 7-I</c:v>
                </c:pt>
                <c:pt idx="37">
                  <c:v>Cat 7-II-Static</c:v>
                </c:pt>
                <c:pt idx="50">
                  <c:v>Cat 7-II-NF</c:v>
                </c:pt>
                <c:pt idx="62">
                  <c:v>Cat 8-Static</c:v>
                </c:pt>
                <c:pt idx="71">
                  <c:v>Cat 8-NF</c:v>
                </c:pt>
                <c:pt idx="79">
                  <c:v>Cat 9</c:v>
                </c:pt>
              </c:strCache>
            </c:strRef>
          </c:cat>
          <c:val>
            <c:numRef>
              <c:f>DB!$AP$4:$AP$83</c:f>
              <c:numCache>
                <c:formatCode>0.0</c:formatCode>
                <c:ptCount val="8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0.79365079365079361</c:v>
                </c:pt>
                <c:pt idx="5">
                  <c:v>1.4450867052023122</c:v>
                </c:pt>
                <c:pt idx="6" formatCode="General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0.92592592592592582</c:v>
                </c:pt>
                <c:pt idx="10">
                  <c:v>0</c:v>
                </c:pt>
                <c:pt idx="11">
                  <c:v>0.93023255813953487</c:v>
                </c:pt>
                <c:pt idx="12">
                  <c:v>1.4388489208633095</c:v>
                </c:pt>
                <c:pt idx="13">
                  <c:v>1.4018691588785046</c:v>
                </c:pt>
                <c:pt idx="14">
                  <c:v>1.0309278350515463</c:v>
                </c:pt>
                <c:pt idx="15">
                  <c:v>1.3043478260869565</c:v>
                </c:pt>
                <c:pt idx="16">
                  <c:v>0.95238095238095244</c:v>
                </c:pt>
                <c:pt idx="17">
                  <c:v>1.3157894736842104</c:v>
                </c:pt>
                <c:pt idx="18">
                  <c:v>1.0695187165775399</c:v>
                </c:pt>
                <c:pt idx="19">
                  <c:v>1.4018691588785046</c:v>
                </c:pt>
                <c:pt idx="20">
                  <c:v>0.8771929824561403</c:v>
                </c:pt>
                <c:pt idx="21">
                  <c:v>1.3605442176870748</c:v>
                </c:pt>
                <c:pt idx="22">
                  <c:v>1.8018018018018018</c:v>
                </c:pt>
                <c:pt idx="23">
                  <c:v>1.5463917525773196</c:v>
                </c:pt>
                <c:pt idx="24">
                  <c:v>1.3953488372093024</c:v>
                </c:pt>
                <c:pt idx="25">
                  <c:v>1.2</c:v>
                </c:pt>
                <c:pt idx="26">
                  <c:v>1.3192612137203166</c:v>
                </c:pt>
                <c:pt idx="27">
                  <c:v>1.1235955056179776</c:v>
                </c:pt>
                <c:pt idx="28">
                  <c:v>1.1976047904191618</c:v>
                </c:pt>
                <c:pt idx="29">
                  <c:v>0.97560975609756095</c:v>
                </c:pt>
                <c:pt idx="30">
                  <c:v>0.92165898617511521</c:v>
                </c:pt>
                <c:pt idx="31">
                  <c:v>1.8721461187214585</c:v>
                </c:pt>
                <c:pt idx="32" formatCode="General">
                  <c:v>0</c:v>
                </c:pt>
                <c:pt idx="33">
                  <c:v>0</c:v>
                </c:pt>
                <c:pt idx="34">
                  <c:v>0.52356020942408377</c:v>
                </c:pt>
                <c:pt idx="35">
                  <c:v>1.3953488372093024</c:v>
                </c:pt>
                <c:pt idx="36">
                  <c:v>1.3953488372093024</c:v>
                </c:pt>
                <c:pt idx="37">
                  <c:v>1.1627906976744187</c:v>
                </c:pt>
                <c:pt idx="38">
                  <c:v>1.8957345971563981</c:v>
                </c:pt>
                <c:pt idx="39">
                  <c:v>0.78740157480314954</c:v>
                </c:pt>
                <c:pt idx="40">
                  <c:v>1.6666666666666667</c:v>
                </c:pt>
                <c:pt idx="41">
                  <c:v>2.8301886792452833</c:v>
                </c:pt>
                <c:pt idx="42" formatCode="General">
                  <c:v>0</c:v>
                </c:pt>
                <c:pt idx="43">
                  <c:v>0.72727272727272729</c:v>
                </c:pt>
                <c:pt idx="44">
                  <c:v>1.2757094506638837</c:v>
                </c:pt>
                <c:pt idx="45">
                  <c:v>0.8</c:v>
                </c:pt>
                <c:pt idx="46">
                  <c:v>0</c:v>
                </c:pt>
                <c:pt idx="47">
                  <c:v>1.1194029850746268</c:v>
                </c:pt>
                <c:pt idx="48">
                  <c:v>1.0309278350515463</c:v>
                </c:pt>
                <c:pt idx="49">
                  <c:v>0.78125</c:v>
                </c:pt>
                <c:pt idx="50">
                  <c:v>0.74906367041198507</c:v>
                </c:pt>
                <c:pt idx="51">
                  <c:v>0.94786729857819907</c:v>
                </c:pt>
                <c:pt idx="52">
                  <c:v>0.81300813008130091</c:v>
                </c:pt>
                <c:pt idx="53">
                  <c:v>0.84507042253521114</c:v>
                </c:pt>
                <c:pt idx="54">
                  <c:v>0.84507042253521114</c:v>
                </c:pt>
                <c:pt idx="55">
                  <c:v>1.2875536480686696</c:v>
                </c:pt>
                <c:pt idx="56">
                  <c:v>0.92592592592592582</c:v>
                </c:pt>
                <c:pt idx="57">
                  <c:v>0.63694267515923575</c:v>
                </c:pt>
                <c:pt idx="58">
                  <c:v>0.36231884057971014</c:v>
                </c:pt>
                <c:pt idx="59" formatCode="General">
                  <c:v>0</c:v>
                </c:pt>
                <c:pt idx="60">
                  <c:v>15.384615384615385</c:v>
                </c:pt>
                <c:pt idx="61">
                  <c:v>0</c:v>
                </c:pt>
                <c:pt idx="62">
                  <c:v>0.63291139240506333</c:v>
                </c:pt>
                <c:pt idx="63">
                  <c:v>1.8181818181818181</c:v>
                </c:pt>
                <c:pt idx="64">
                  <c:v>1.6877637130801686</c:v>
                </c:pt>
                <c:pt idx="65" formatCode="General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0.53191489361702127</c:v>
                </c:pt>
                <c:pt idx="70">
                  <c:v>0.90909090909090906</c:v>
                </c:pt>
                <c:pt idx="71">
                  <c:v>1.2383900928792571</c:v>
                </c:pt>
                <c:pt idx="72">
                  <c:v>1.25</c:v>
                </c:pt>
                <c:pt idx="73">
                  <c:v>0.83333333333333337</c:v>
                </c:pt>
                <c:pt idx="74">
                  <c:v>0.83333333333333337</c:v>
                </c:pt>
                <c:pt idx="75">
                  <c:v>1.048951048951049</c:v>
                </c:pt>
                <c:pt idx="76">
                  <c:v>7.0270270270270272</c:v>
                </c:pt>
                <c:pt idx="77" formatCode="General">
                  <c:v>0</c:v>
                </c:pt>
                <c:pt idx="78">
                  <c:v>0.70422535211267612</c:v>
                </c:pt>
                <c:pt idx="79">
                  <c:v>0.25641025641025639</c:v>
                </c:pt>
              </c:numCache>
            </c:numRef>
          </c:val>
        </c:ser>
        <c:ser>
          <c:idx val="5"/>
          <c:order val="1"/>
          <c:tx>
            <c:v>Compartment 2</c:v>
          </c:tx>
          <c:spPr>
            <a:solidFill>
              <a:schemeClr val="accent6">
                <a:lumMod val="60000"/>
                <a:lumOff val="40000"/>
              </a:schemeClr>
            </a:solidFill>
            <a:ln w="9525">
              <a:solidFill>
                <a:schemeClr val="accent6">
                  <a:lumMod val="50000"/>
                </a:schemeClr>
              </a:solidFill>
            </a:ln>
          </c:spPr>
          <c:invertIfNegative val="0"/>
          <c:cat>
            <c:strRef>
              <c:f>DB!$BN$4:$BN$83</c:f>
              <c:strCache>
                <c:ptCount val="80"/>
                <c:pt idx="3">
                  <c:v>Cat 1..3</c:v>
                </c:pt>
                <c:pt idx="18">
                  <c:v>Cat 7-I</c:v>
                </c:pt>
                <c:pt idx="37">
                  <c:v>Cat 7-II-Static</c:v>
                </c:pt>
                <c:pt idx="50">
                  <c:v>Cat 7-II-NF</c:v>
                </c:pt>
                <c:pt idx="62">
                  <c:v>Cat 8-Static</c:v>
                </c:pt>
                <c:pt idx="71">
                  <c:v>Cat 8-NF</c:v>
                </c:pt>
                <c:pt idx="79">
                  <c:v>Cat 9</c:v>
                </c:pt>
              </c:strCache>
            </c:strRef>
          </c:cat>
          <c:val>
            <c:numRef>
              <c:f>DB!$AQ$4:$AQ$83</c:f>
              <c:numCache>
                <c:formatCode>0.0</c:formatCode>
                <c:ptCount val="8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6.666666666666667</c:v>
                </c:pt>
                <c:pt idx="13">
                  <c:v>5.8823529411764701</c:v>
                </c:pt>
                <c:pt idx="14">
                  <c:v>2.8571428571428572</c:v>
                </c:pt>
                <c:pt idx="15">
                  <c:v>2.8571428571428572</c:v>
                </c:pt>
                <c:pt idx="16">
                  <c:v>2.3255813953488373</c:v>
                </c:pt>
                <c:pt idx="17">
                  <c:v>2.3809523809523809</c:v>
                </c:pt>
                <c:pt idx="18">
                  <c:v>2.3809523809523809</c:v>
                </c:pt>
                <c:pt idx="19">
                  <c:v>2.3809523809523809</c:v>
                </c:pt>
                <c:pt idx="20">
                  <c:v>5.8823529411764701</c:v>
                </c:pt>
                <c:pt idx="21">
                  <c:v>5.8823529411764701</c:v>
                </c:pt>
                <c:pt idx="22">
                  <c:v>6.25</c:v>
                </c:pt>
                <c:pt idx="23">
                  <c:v>2.1276595744680851</c:v>
                </c:pt>
                <c:pt idx="24">
                  <c:v>2.1276595744680851</c:v>
                </c:pt>
                <c:pt idx="25">
                  <c:v>2.1276595744680851</c:v>
                </c:pt>
                <c:pt idx="26">
                  <c:v>2.3809523809523809</c:v>
                </c:pt>
                <c:pt idx="27">
                  <c:v>1.6666666666666667</c:v>
                </c:pt>
                <c:pt idx="28">
                  <c:v>2.1052631578947367</c:v>
                </c:pt>
                <c:pt idx="29">
                  <c:v>2.8571428571428572</c:v>
                </c:pt>
                <c:pt idx="30">
                  <c:v>1.6666666666666667</c:v>
                </c:pt>
                <c:pt idx="31">
                  <c:v>1.7283950617284023</c:v>
                </c:pt>
                <c:pt idx="33">
                  <c:v>2.2471910112359552</c:v>
                </c:pt>
                <c:pt idx="34">
                  <c:v>0</c:v>
                </c:pt>
                <c:pt idx="35">
                  <c:v>2.2471910112359552</c:v>
                </c:pt>
                <c:pt idx="36">
                  <c:v>2.2471910112359552</c:v>
                </c:pt>
                <c:pt idx="37">
                  <c:v>1.639344262295082</c:v>
                </c:pt>
                <c:pt idx="38">
                  <c:v>1.639344262295082</c:v>
                </c:pt>
                <c:pt idx="39">
                  <c:v>3.7037037037037033</c:v>
                </c:pt>
                <c:pt idx="40">
                  <c:v>3.7037037037037033</c:v>
                </c:pt>
                <c:pt idx="41">
                  <c:v>1.6949152542372881</c:v>
                </c:pt>
                <c:pt idx="43">
                  <c:v>0</c:v>
                </c:pt>
                <c:pt idx="44">
                  <c:v>21.317157712305029</c:v>
                </c:pt>
                <c:pt idx="45">
                  <c:v>0</c:v>
                </c:pt>
                <c:pt idx="46">
                  <c:v>0</c:v>
                </c:pt>
                <c:pt idx="47">
                  <c:v>2.3255813953488373</c:v>
                </c:pt>
                <c:pt idx="48">
                  <c:v>2.2988505747126435</c:v>
                </c:pt>
                <c:pt idx="49">
                  <c:v>3.278688524590164</c:v>
                </c:pt>
                <c:pt idx="50">
                  <c:v>2.1739130434782608</c:v>
                </c:pt>
                <c:pt idx="51">
                  <c:v>2.3255813953488373</c:v>
                </c:pt>
                <c:pt idx="52">
                  <c:v>2.3255813953488373</c:v>
                </c:pt>
                <c:pt idx="53">
                  <c:v>1.8518518518518516</c:v>
                </c:pt>
                <c:pt idx="54">
                  <c:v>1.8518518518518516</c:v>
                </c:pt>
                <c:pt idx="55">
                  <c:v>2.2988505747126435</c:v>
                </c:pt>
                <c:pt idx="56">
                  <c:v>2.2988505747126435</c:v>
                </c:pt>
                <c:pt idx="57">
                  <c:v>1.1627906976744187</c:v>
                </c:pt>
                <c:pt idx="58">
                  <c:v>13.636363636363635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4"/>
          <c:order val="2"/>
          <c:tx>
            <c:v>Compartment 3</c:v>
          </c:tx>
          <c:spPr>
            <a:solidFill>
              <a:schemeClr val="accent4">
                <a:lumMod val="60000"/>
                <a:lumOff val="40000"/>
              </a:schemeClr>
            </a:solidFill>
            <a:ln w="9525">
              <a:solidFill>
                <a:schemeClr val="accent4">
                  <a:lumMod val="50000"/>
                </a:schemeClr>
              </a:solidFill>
            </a:ln>
          </c:spPr>
          <c:invertIfNegative val="0"/>
          <c:cat>
            <c:strRef>
              <c:f>DB!$BN$4:$BN$83</c:f>
              <c:strCache>
                <c:ptCount val="80"/>
                <c:pt idx="3">
                  <c:v>Cat 1..3</c:v>
                </c:pt>
                <c:pt idx="18">
                  <c:v>Cat 7-I</c:v>
                </c:pt>
                <c:pt idx="37">
                  <c:v>Cat 7-II-Static</c:v>
                </c:pt>
                <c:pt idx="50">
                  <c:v>Cat 7-II-NF</c:v>
                </c:pt>
                <c:pt idx="62">
                  <c:v>Cat 8-Static</c:v>
                </c:pt>
                <c:pt idx="71">
                  <c:v>Cat 8-NF</c:v>
                </c:pt>
                <c:pt idx="79">
                  <c:v>Cat 9</c:v>
                </c:pt>
              </c:strCache>
            </c:strRef>
          </c:cat>
          <c:val>
            <c:numRef>
              <c:f>DB!$AR$4:$AR$83</c:f>
              <c:numCache>
                <c:formatCode>0.0</c:formatCode>
                <c:ptCount val="8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3.5714285714285712</c:v>
                </c:pt>
                <c:pt idx="40">
                  <c:v>2.5974025974025974</c:v>
                </c:pt>
                <c:pt idx="41">
                  <c:v>0</c:v>
                </c:pt>
                <c:pt idx="43">
                  <c:v>0</c:v>
                </c:pt>
                <c:pt idx="44">
                  <c:v>2.7397260273972628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3.5714285714285712</c:v>
                </c:pt>
                <c:pt idx="50">
                  <c:v>5.5555555555555554</c:v>
                </c:pt>
                <c:pt idx="51">
                  <c:v>4.3478260869565215</c:v>
                </c:pt>
                <c:pt idx="52">
                  <c:v>4.3478260869565215</c:v>
                </c:pt>
                <c:pt idx="53">
                  <c:v>2.3255813953488373</c:v>
                </c:pt>
                <c:pt idx="54">
                  <c:v>2.3255813953488373</c:v>
                </c:pt>
                <c:pt idx="55">
                  <c:v>0</c:v>
                </c:pt>
                <c:pt idx="56">
                  <c:v>0</c:v>
                </c:pt>
                <c:pt idx="57">
                  <c:v>12.359550561797752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3"/>
          <c:order val="3"/>
          <c:tx>
            <c:strRef>
              <c:f>DB!#REF!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  <a:prstDash val="dash"/>
            </a:ln>
          </c:spPr>
          <c:invertIfNegative val="0"/>
          <c:cat>
            <c:strRef>
              <c:f>DB!$BN$4:$BN$83</c:f>
              <c:strCache>
                <c:ptCount val="80"/>
                <c:pt idx="3">
                  <c:v>Cat 1..3</c:v>
                </c:pt>
                <c:pt idx="18">
                  <c:v>Cat 7-I</c:v>
                </c:pt>
                <c:pt idx="37">
                  <c:v>Cat 7-II-Static</c:v>
                </c:pt>
                <c:pt idx="50">
                  <c:v>Cat 7-II-NF</c:v>
                </c:pt>
                <c:pt idx="62">
                  <c:v>Cat 8-Static</c:v>
                </c:pt>
                <c:pt idx="71">
                  <c:v>Cat 8-NF</c:v>
                </c:pt>
                <c:pt idx="79">
                  <c:v>Cat 9</c:v>
                </c:pt>
              </c:strCache>
            </c:strRef>
          </c:cat>
          <c:val>
            <c:numRef>
              <c:f>DB!$BQ$4:$BQ$83</c:f>
              <c:numCache>
                <c:formatCode>General</c:formatCode>
                <c:ptCount val="80"/>
                <c:pt idx="0">
                  <c:v>-100</c:v>
                </c:pt>
                <c:pt idx="6">
                  <c:v>-100</c:v>
                </c:pt>
                <c:pt idx="32">
                  <c:v>-100</c:v>
                </c:pt>
                <c:pt idx="42">
                  <c:v>-100</c:v>
                </c:pt>
                <c:pt idx="59">
                  <c:v>-100</c:v>
                </c:pt>
                <c:pt idx="65">
                  <c:v>-100</c:v>
                </c:pt>
                <c:pt idx="77">
                  <c:v>-100</c:v>
                </c:pt>
              </c:numCache>
            </c:numRef>
          </c:val>
        </c:ser>
        <c:ser>
          <c:idx val="2"/>
          <c:order val="4"/>
          <c:tx>
            <c:strRef>
              <c:f>DB!#REF!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9525">
              <a:noFill/>
              <a:prstDash val="dash"/>
            </a:ln>
          </c:spPr>
          <c:invertIfNegative val="0"/>
          <c:cat>
            <c:strRef>
              <c:f>DB!$BN$4:$BN$83</c:f>
              <c:strCache>
                <c:ptCount val="80"/>
                <c:pt idx="3">
                  <c:v>Cat 1..3</c:v>
                </c:pt>
                <c:pt idx="18">
                  <c:v>Cat 7-I</c:v>
                </c:pt>
                <c:pt idx="37">
                  <c:v>Cat 7-II-Static</c:v>
                </c:pt>
                <c:pt idx="50">
                  <c:v>Cat 7-II-NF</c:v>
                </c:pt>
                <c:pt idx="62">
                  <c:v>Cat 8-Static</c:v>
                </c:pt>
                <c:pt idx="71">
                  <c:v>Cat 8-NF</c:v>
                </c:pt>
                <c:pt idx="79">
                  <c:v>Cat 9</c:v>
                </c:pt>
              </c:strCache>
            </c:strRef>
          </c:cat>
          <c:val>
            <c:numRef>
              <c:f>DB!$BP$4:$BP$83</c:f>
              <c:numCache>
                <c:formatCode>General</c:formatCode>
                <c:ptCount val="80"/>
                <c:pt idx="0">
                  <c:v>100</c:v>
                </c:pt>
                <c:pt idx="6">
                  <c:v>100</c:v>
                </c:pt>
                <c:pt idx="32">
                  <c:v>100</c:v>
                </c:pt>
                <c:pt idx="42">
                  <c:v>100</c:v>
                </c:pt>
                <c:pt idx="59">
                  <c:v>100</c:v>
                </c:pt>
                <c:pt idx="65">
                  <c:v>100</c:v>
                </c:pt>
                <c:pt idx="7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1"/>
        <c:axId val="75355264"/>
        <c:axId val="75356800"/>
      </c:barChart>
      <c:catAx>
        <c:axId val="7535526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75356800"/>
        <c:crosses val="autoZero"/>
        <c:auto val="1"/>
        <c:lblAlgn val="ctr"/>
        <c:lblOffset val="100"/>
        <c:noMultiLvlLbl val="0"/>
      </c:catAx>
      <c:valAx>
        <c:axId val="75356800"/>
        <c:scaling>
          <c:orientation val="minMax"/>
          <c:max val="20"/>
          <c:min val="-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with EN62552 volume [%]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355264"/>
        <c:crosses val="autoZero"/>
        <c:crossBetween val="between"/>
        <c:majorUnit val="5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8981709317585299"/>
          <c:y val="3.7172999006192184E-2"/>
          <c:w val="0.16657093644544432"/>
          <c:h val="0.1580339593473146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92592592592591E-2"/>
          <c:y val="5.1400554097404488E-2"/>
          <c:w val="0.87953229804607758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Overview!$S$4</c:f>
              <c:strCache>
                <c:ptCount val="1"/>
                <c:pt idx="0">
                  <c:v>Current = (25-Tc)/20</c:v>
                </c:pt>
              </c:strCache>
            </c:strRef>
          </c:tx>
          <c:marker>
            <c:symbol val="none"/>
          </c:marker>
          <c:xVal>
            <c:numRef>
              <c:f>Overview!$R$5:$R$40</c:f>
              <c:numCache>
                <c:formatCode>General</c:formatCode>
                <c:ptCount val="36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</c:numCache>
            </c:numRef>
          </c:xVal>
          <c:yVal>
            <c:numRef>
              <c:f>Overview!$S$5:$S$40</c:f>
              <c:numCache>
                <c:formatCode>General</c:formatCode>
                <c:ptCount val="36"/>
                <c:pt idx="0">
                  <c:v>2.15</c:v>
                </c:pt>
                <c:pt idx="1">
                  <c:v>2.1</c:v>
                </c:pt>
                <c:pt idx="2">
                  <c:v>2.0499999999999998</c:v>
                </c:pt>
                <c:pt idx="3">
                  <c:v>2</c:v>
                </c:pt>
                <c:pt idx="4">
                  <c:v>1.95</c:v>
                </c:pt>
                <c:pt idx="5">
                  <c:v>1.9</c:v>
                </c:pt>
                <c:pt idx="6">
                  <c:v>1.85</c:v>
                </c:pt>
                <c:pt idx="7">
                  <c:v>1.8</c:v>
                </c:pt>
                <c:pt idx="8">
                  <c:v>1.75</c:v>
                </c:pt>
                <c:pt idx="9">
                  <c:v>1.7</c:v>
                </c:pt>
                <c:pt idx="10">
                  <c:v>1.65</c:v>
                </c:pt>
                <c:pt idx="11">
                  <c:v>1.6</c:v>
                </c:pt>
                <c:pt idx="12">
                  <c:v>1.55</c:v>
                </c:pt>
                <c:pt idx="13">
                  <c:v>1.5</c:v>
                </c:pt>
                <c:pt idx="14">
                  <c:v>1.45</c:v>
                </c:pt>
                <c:pt idx="15">
                  <c:v>1.4</c:v>
                </c:pt>
                <c:pt idx="16">
                  <c:v>1.35</c:v>
                </c:pt>
                <c:pt idx="17">
                  <c:v>1.3</c:v>
                </c:pt>
                <c:pt idx="18">
                  <c:v>1.25</c:v>
                </c:pt>
                <c:pt idx="19">
                  <c:v>1.2</c:v>
                </c:pt>
                <c:pt idx="20">
                  <c:v>1.1499999999999999</c:v>
                </c:pt>
                <c:pt idx="21">
                  <c:v>1.1000000000000001</c:v>
                </c:pt>
                <c:pt idx="22">
                  <c:v>1.05</c:v>
                </c:pt>
                <c:pt idx="23">
                  <c:v>1</c:v>
                </c:pt>
                <c:pt idx="24">
                  <c:v>0.95</c:v>
                </c:pt>
                <c:pt idx="25">
                  <c:v>0.9</c:v>
                </c:pt>
                <c:pt idx="26">
                  <c:v>0.85</c:v>
                </c:pt>
                <c:pt idx="27">
                  <c:v>0.8</c:v>
                </c:pt>
                <c:pt idx="28">
                  <c:v>0.75</c:v>
                </c:pt>
                <c:pt idx="29">
                  <c:v>0.7</c:v>
                </c:pt>
                <c:pt idx="30">
                  <c:v>0.65</c:v>
                </c:pt>
                <c:pt idx="31">
                  <c:v>0.6</c:v>
                </c:pt>
                <c:pt idx="32">
                  <c:v>0.55000000000000004</c:v>
                </c:pt>
                <c:pt idx="33">
                  <c:v>0.5</c:v>
                </c:pt>
                <c:pt idx="34">
                  <c:v>0.45</c:v>
                </c:pt>
                <c:pt idx="35">
                  <c:v>0.4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Overview!$X$4</c:f>
              <c:strCache>
                <c:ptCount val="1"/>
                <c:pt idx="0">
                  <c:v>(Tka-Tc)/(Tka-4), Tka=25</c:v>
                </c:pt>
              </c:strCache>
            </c:strRef>
          </c:tx>
          <c:marker>
            <c:symbol val="none"/>
          </c:marker>
          <c:xVal>
            <c:numRef>
              <c:f>Overview!$R$5:$R$40</c:f>
              <c:numCache>
                <c:formatCode>General</c:formatCode>
                <c:ptCount val="36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</c:numCache>
            </c:numRef>
          </c:xVal>
          <c:yVal>
            <c:numRef>
              <c:f>Overview!$X$5:$X$40</c:f>
              <c:numCache>
                <c:formatCode>General</c:formatCode>
                <c:ptCount val="36"/>
                <c:pt idx="0">
                  <c:v>2.0476190476190474</c:v>
                </c:pt>
                <c:pt idx="1">
                  <c:v>2</c:v>
                </c:pt>
                <c:pt idx="2">
                  <c:v>1.9523809523809523</c:v>
                </c:pt>
                <c:pt idx="3">
                  <c:v>1.9047619047619047</c:v>
                </c:pt>
                <c:pt idx="4">
                  <c:v>1.8571428571428572</c:v>
                </c:pt>
                <c:pt idx="5">
                  <c:v>1.8095238095238095</c:v>
                </c:pt>
                <c:pt idx="6">
                  <c:v>1.7619047619047619</c:v>
                </c:pt>
                <c:pt idx="7">
                  <c:v>1.7142857142857142</c:v>
                </c:pt>
                <c:pt idx="8">
                  <c:v>1.6666666666666667</c:v>
                </c:pt>
                <c:pt idx="9">
                  <c:v>1.6190476190476191</c:v>
                </c:pt>
                <c:pt idx="10">
                  <c:v>1.5714285714285714</c:v>
                </c:pt>
                <c:pt idx="11">
                  <c:v>1.5238095238095237</c:v>
                </c:pt>
                <c:pt idx="12">
                  <c:v>1.4761904761904763</c:v>
                </c:pt>
                <c:pt idx="13">
                  <c:v>1.4285714285714286</c:v>
                </c:pt>
                <c:pt idx="14">
                  <c:v>1.3809523809523809</c:v>
                </c:pt>
                <c:pt idx="15">
                  <c:v>1.3333333333333333</c:v>
                </c:pt>
                <c:pt idx="16">
                  <c:v>1.2857142857142858</c:v>
                </c:pt>
                <c:pt idx="17">
                  <c:v>1.2380952380952381</c:v>
                </c:pt>
                <c:pt idx="18">
                  <c:v>1.1904761904761905</c:v>
                </c:pt>
                <c:pt idx="19">
                  <c:v>1.1428571428571428</c:v>
                </c:pt>
                <c:pt idx="20">
                  <c:v>1.0952380952380953</c:v>
                </c:pt>
                <c:pt idx="21">
                  <c:v>1.0476190476190477</c:v>
                </c:pt>
                <c:pt idx="22">
                  <c:v>1</c:v>
                </c:pt>
                <c:pt idx="23">
                  <c:v>0.95238095238095233</c:v>
                </c:pt>
                <c:pt idx="24">
                  <c:v>0.90476190476190477</c:v>
                </c:pt>
                <c:pt idx="25">
                  <c:v>0.8571428571428571</c:v>
                </c:pt>
                <c:pt idx="26">
                  <c:v>0.80952380952380953</c:v>
                </c:pt>
                <c:pt idx="27">
                  <c:v>0.76190476190476186</c:v>
                </c:pt>
                <c:pt idx="28">
                  <c:v>0.7142857142857143</c:v>
                </c:pt>
                <c:pt idx="29">
                  <c:v>0.66666666666666663</c:v>
                </c:pt>
                <c:pt idx="30">
                  <c:v>0.61904761904761907</c:v>
                </c:pt>
                <c:pt idx="31">
                  <c:v>0.5714285714285714</c:v>
                </c:pt>
                <c:pt idx="32">
                  <c:v>0.52380952380952384</c:v>
                </c:pt>
                <c:pt idx="33">
                  <c:v>0.47619047619047616</c:v>
                </c:pt>
                <c:pt idx="34">
                  <c:v>0.42857142857142855</c:v>
                </c:pt>
                <c:pt idx="35">
                  <c:v>0.38095238095238093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Overview!$Z$4</c:f>
              <c:strCache>
                <c:ptCount val="1"/>
                <c:pt idx="0">
                  <c:v>(Tka-Tc)/(Tka-4), Tka=24</c:v>
                </c:pt>
              </c:strCache>
            </c:strRef>
          </c:tx>
          <c:marker>
            <c:symbol val="none"/>
          </c:marker>
          <c:xVal>
            <c:numRef>
              <c:f>Overview!$R$5:$R$40</c:f>
              <c:numCache>
                <c:formatCode>General</c:formatCode>
                <c:ptCount val="36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</c:numCache>
            </c:numRef>
          </c:xVal>
          <c:yVal>
            <c:numRef>
              <c:f>Overview!$Z$5:$Z$40</c:f>
              <c:numCache>
                <c:formatCode>General</c:formatCode>
                <c:ptCount val="36"/>
                <c:pt idx="0">
                  <c:v>2.1</c:v>
                </c:pt>
                <c:pt idx="1">
                  <c:v>2.0499999999999998</c:v>
                </c:pt>
                <c:pt idx="2">
                  <c:v>2</c:v>
                </c:pt>
                <c:pt idx="3">
                  <c:v>1.95</c:v>
                </c:pt>
                <c:pt idx="4">
                  <c:v>1.9</c:v>
                </c:pt>
                <c:pt idx="5">
                  <c:v>1.85</c:v>
                </c:pt>
                <c:pt idx="6">
                  <c:v>1.8</c:v>
                </c:pt>
                <c:pt idx="7">
                  <c:v>1.75</c:v>
                </c:pt>
                <c:pt idx="8">
                  <c:v>1.7</c:v>
                </c:pt>
                <c:pt idx="9">
                  <c:v>1.65</c:v>
                </c:pt>
                <c:pt idx="10">
                  <c:v>1.6</c:v>
                </c:pt>
                <c:pt idx="11">
                  <c:v>1.55</c:v>
                </c:pt>
                <c:pt idx="12">
                  <c:v>1.5</c:v>
                </c:pt>
                <c:pt idx="13">
                  <c:v>1.45</c:v>
                </c:pt>
                <c:pt idx="14">
                  <c:v>1.4</c:v>
                </c:pt>
                <c:pt idx="15">
                  <c:v>1.35</c:v>
                </c:pt>
                <c:pt idx="16">
                  <c:v>1.3</c:v>
                </c:pt>
                <c:pt idx="17">
                  <c:v>1.25</c:v>
                </c:pt>
                <c:pt idx="18">
                  <c:v>1.2</c:v>
                </c:pt>
                <c:pt idx="19">
                  <c:v>1.1499999999999999</c:v>
                </c:pt>
                <c:pt idx="20">
                  <c:v>1.1000000000000001</c:v>
                </c:pt>
                <c:pt idx="21">
                  <c:v>1.05</c:v>
                </c:pt>
                <c:pt idx="22">
                  <c:v>1</c:v>
                </c:pt>
                <c:pt idx="23">
                  <c:v>0.95</c:v>
                </c:pt>
                <c:pt idx="24">
                  <c:v>0.9</c:v>
                </c:pt>
                <c:pt idx="25">
                  <c:v>0.85</c:v>
                </c:pt>
                <c:pt idx="26">
                  <c:v>0.8</c:v>
                </c:pt>
                <c:pt idx="27">
                  <c:v>0.75</c:v>
                </c:pt>
                <c:pt idx="28">
                  <c:v>0.7</c:v>
                </c:pt>
                <c:pt idx="29">
                  <c:v>0.65</c:v>
                </c:pt>
                <c:pt idx="30">
                  <c:v>0.6</c:v>
                </c:pt>
                <c:pt idx="31">
                  <c:v>0.55000000000000004</c:v>
                </c:pt>
                <c:pt idx="32">
                  <c:v>0.5</c:v>
                </c:pt>
                <c:pt idx="33">
                  <c:v>0.45</c:v>
                </c:pt>
                <c:pt idx="34">
                  <c:v>0.4</c:v>
                </c:pt>
                <c:pt idx="35">
                  <c:v>0.35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73632"/>
        <c:axId val="87575552"/>
      </c:scatter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Target temperature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575552"/>
        <c:crosses val="autoZero"/>
        <c:crossBetween val="midCat"/>
      </c:valAx>
      <c:valAx>
        <c:axId val="87575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Volume scale factor in adjusted volume formula [-]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573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357759572982671"/>
          <c:y val="4.00878255602665E-2"/>
          <c:w val="0.31211149111411579"/>
          <c:h val="0.2503985463355542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Category 7 Type I (blue = 16 C, red= 32 C test)</a:t>
            </a:r>
          </a:p>
        </c:rich>
      </c:tx>
      <c:layout>
        <c:manualLayout>
          <c:xMode val="edge"/>
          <c:yMode val="edge"/>
          <c:x val="0.18593530239099856"/>
          <c:y val="2.5225225225225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03018372703412"/>
          <c:y val="0.10390295807618642"/>
          <c:w val="0.81931014873140862"/>
          <c:h val="0.78937646307725051"/>
        </c:manualLayout>
      </c:layout>
      <c:scatterChart>
        <c:scatterStyle val="lineMarker"/>
        <c:varyColors val="0"/>
        <c:ser>
          <c:idx val="0"/>
          <c:order val="0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DB!$BU$11:$BV$11</c:f>
              <c:numCache>
                <c:formatCode>0.0</c:formatCode>
                <c:ptCount val="2"/>
                <c:pt idx="0">
                  <c:v>-19.2</c:v>
                </c:pt>
                <c:pt idx="1">
                  <c:v>-19.7</c:v>
                </c:pt>
              </c:numCache>
            </c:numRef>
          </c:xVal>
          <c:yVal>
            <c:numRef>
              <c:f>DB!$BW$11:$BX$11</c:f>
              <c:numCache>
                <c:formatCode>0.0</c:formatCode>
                <c:ptCount val="2"/>
                <c:pt idx="0">
                  <c:v>218</c:v>
                </c:pt>
                <c:pt idx="1">
                  <c:v>506</c:v>
                </c:pt>
              </c:numCache>
            </c:numRef>
          </c:yVal>
          <c:smooth val="0"/>
        </c:ser>
        <c:ser>
          <c:idx val="1"/>
          <c:order val="1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DB!$BU$12:$BV$12</c:f>
              <c:numCache>
                <c:formatCode>0.0</c:formatCode>
                <c:ptCount val="2"/>
                <c:pt idx="0">
                  <c:v>-20.6</c:v>
                </c:pt>
                <c:pt idx="1">
                  <c:v>-22.4</c:v>
                </c:pt>
              </c:numCache>
            </c:numRef>
          </c:xVal>
          <c:yVal>
            <c:numRef>
              <c:f>DB!$BW$12:$BX$12</c:f>
              <c:numCache>
                <c:formatCode>0.0</c:formatCode>
                <c:ptCount val="2"/>
                <c:pt idx="0">
                  <c:v>413</c:v>
                </c:pt>
                <c:pt idx="1">
                  <c:v>729</c:v>
                </c:pt>
              </c:numCache>
            </c:numRef>
          </c:yVal>
          <c:smooth val="0"/>
        </c:ser>
        <c:ser>
          <c:idx val="2"/>
          <c:order val="2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DB!$BU$13:$BV$13</c:f>
              <c:numCache>
                <c:formatCode>0.0</c:formatCode>
                <c:ptCount val="2"/>
                <c:pt idx="0">
                  <c:v>-24.6</c:v>
                </c:pt>
                <c:pt idx="1">
                  <c:v>-21</c:v>
                </c:pt>
              </c:numCache>
            </c:numRef>
          </c:xVal>
          <c:yVal>
            <c:numRef>
              <c:f>DB!$BW$13:$BX$13</c:f>
              <c:numCache>
                <c:formatCode>0.0</c:formatCode>
                <c:ptCount val="2"/>
                <c:pt idx="0">
                  <c:v>659</c:v>
                </c:pt>
                <c:pt idx="1">
                  <c:v>657</c:v>
                </c:pt>
              </c:numCache>
            </c:numRef>
          </c:yVal>
          <c:smooth val="0"/>
        </c:ser>
        <c:ser>
          <c:idx val="3"/>
          <c:order val="3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DB!$BU$14:$BV$14</c:f>
              <c:numCache>
                <c:formatCode>0.0</c:formatCode>
                <c:ptCount val="2"/>
                <c:pt idx="0">
                  <c:v>-25.6</c:v>
                </c:pt>
                <c:pt idx="1">
                  <c:v>-23.2</c:v>
                </c:pt>
              </c:numCache>
            </c:numRef>
          </c:xVal>
          <c:yVal>
            <c:numRef>
              <c:f>DB!$BW$14:$BX$14</c:f>
              <c:numCache>
                <c:formatCode>0.0</c:formatCode>
                <c:ptCount val="2"/>
                <c:pt idx="0">
                  <c:v>586</c:v>
                </c:pt>
                <c:pt idx="1">
                  <c:v>937</c:v>
                </c:pt>
              </c:numCache>
            </c:numRef>
          </c:yVal>
          <c:smooth val="0"/>
        </c:ser>
        <c:ser>
          <c:idx val="4"/>
          <c:order val="4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DB!$BU$15:$BV$15</c:f>
              <c:numCache>
                <c:formatCode>0.0</c:formatCode>
                <c:ptCount val="2"/>
                <c:pt idx="0">
                  <c:v>-18.5</c:v>
                </c:pt>
                <c:pt idx="1">
                  <c:v>-20.5</c:v>
                </c:pt>
              </c:numCache>
            </c:numRef>
          </c:xVal>
          <c:yVal>
            <c:numRef>
              <c:f>DB!$BW$15:$BX$15</c:f>
              <c:numCache>
                <c:formatCode>0.0</c:formatCode>
                <c:ptCount val="2"/>
                <c:pt idx="0">
                  <c:v>312</c:v>
                </c:pt>
                <c:pt idx="1">
                  <c:v>931</c:v>
                </c:pt>
              </c:numCache>
            </c:numRef>
          </c:yVal>
          <c:smooth val="0"/>
        </c:ser>
        <c:ser>
          <c:idx val="5"/>
          <c:order val="5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DB!$BU$16:$BV$16</c:f>
              <c:numCache>
                <c:formatCode>0.0</c:formatCode>
                <c:ptCount val="2"/>
                <c:pt idx="0">
                  <c:v>-21.5</c:v>
                </c:pt>
                <c:pt idx="1">
                  <c:v>-20.7</c:v>
                </c:pt>
              </c:numCache>
            </c:numRef>
          </c:xVal>
          <c:yVal>
            <c:numRef>
              <c:f>DB!$BW$16:$BX$16</c:f>
              <c:numCache>
                <c:formatCode>0.0</c:formatCode>
                <c:ptCount val="2"/>
                <c:pt idx="0">
                  <c:v>425</c:v>
                </c:pt>
                <c:pt idx="1">
                  <c:v>590</c:v>
                </c:pt>
              </c:numCache>
            </c:numRef>
          </c:yVal>
          <c:smooth val="0"/>
        </c:ser>
        <c:ser>
          <c:idx val="6"/>
          <c:order val="6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DB!$BU$17:$BV$17</c:f>
              <c:numCache>
                <c:formatCode>0.0</c:formatCode>
                <c:ptCount val="2"/>
                <c:pt idx="0">
                  <c:v>-20.100000000000001</c:v>
                </c:pt>
                <c:pt idx="1">
                  <c:v>-22.3</c:v>
                </c:pt>
              </c:numCache>
            </c:numRef>
          </c:xVal>
          <c:yVal>
            <c:numRef>
              <c:f>DB!$BW$17:$BX$17</c:f>
              <c:numCache>
                <c:formatCode>0.0</c:formatCode>
                <c:ptCount val="2"/>
                <c:pt idx="0">
                  <c:v>288</c:v>
                </c:pt>
                <c:pt idx="1">
                  <c:v>605</c:v>
                </c:pt>
              </c:numCache>
            </c:numRef>
          </c:yVal>
          <c:smooth val="0"/>
        </c:ser>
        <c:ser>
          <c:idx val="7"/>
          <c:order val="7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DB!$BU$18:$BV$18</c:f>
              <c:numCache>
                <c:formatCode>0.0</c:formatCode>
                <c:ptCount val="2"/>
                <c:pt idx="0">
                  <c:v>-23.2</c:v>
                </c:pt>
                <c:pt idx="1">
                  <c:v>-21.6</c:v>
                </c:pt>
              </c:numCache>
            </c:numRef>
          </c:xVal>
          <c:yVal>
            <c:numRef>
              <c:f>DB!$BW$18:$BX$18</c:f>
              <c:numCache>
                <c:formatCode>0.0</c:formatCode>
                <c:ptCount val="2"/>
                <c:pt idx="0">
                  <c:v>521</c:v>
                </c:pt>
                <c:pt idx="1">
                  <c:v>867</c:v>
                </c:pt>
              </c:numCache>
            </c:numRef>
          </c:yVal>
          <c:smooth val="0"/>
        </c:ser>
        <c:ser>
          <c:idx val="8"/>
          <c:order val="8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DB!$BU$19:$BV$19</c:f>
              <c:numCache>
                <c:formatCode>0.0</c:formatCode>
                <c:ptCount val="2"/>
                <c:pt idx="0">
                  <c:v>-21.8</c:v>
                </c:pt>
                <c:pt idx="1">
                  <c:v>-20.6</c:v>
                </c:pt>
              </c:numCache>
            </c:numRef>
          </c:xVal>
          <c:yVal>
            <c:numRef>
              <c:f>DB!$BW$19:$BX$19</c:f>
              <c:numCache>
                <c:formatCode>0.0</c:formatCode>
                <c:ptCount val="2"/>
                <c:pt idx="0">
                  <c:v>522</c:v>
                </c:pt>
                <c:pt idx="1">
                  <c:v>904</c:v>
                </c:pt>
              </c:numCache>
            </c:numRef>
          </c:yVal>
          <c:smooth val="0"/>
        </c:ser>
        <c:ser>
          <c:idx val="9"/>
          <c:order val="9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DB!$BU$20:$BV$20</c:f>
              <c:numCache>
                <c:formatCode>0.0</c:formatCode>
                <c:ptCount val="2"/>
                <c:pt idx="0">
                  <c:v>-21.1</c:v>
                </c:pt>
                <c:pt idx="1">
                  <c:v>-22.6</c:v>
                </c:pt>
              </c:numCache>
            </c:numRef>
          </c:xVal>
          <c:yVal>
            <c:numRef>
              <c:f>DB!$BW$20:$BX$20</c:f>
              <c:numCache>
                <c:formatCode>0.0</c:formatCode>
                <c:ptCount val="2"/>
                <c:pt idx="0">
                  <c:v>450</c:v>
                </c:pt>
                <c:pt idx="1">
                  <c:v>1089</c:v>
                </c:pt>
              </c:numCache>
            </c:numRef>
          </c:yVal>
          <c:smooth val="0"/>
        </c:ser>
        <c:ser>
          <c:idx val="10"/>
          <c:order val="10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DB!$BU$21:$BV$21</c:f>
              <c:numCache>
                <c:formatCode>0.0</c:formatCode>
                <c:ptCount val="2"/>
                <c:pt idx="0">
                  <c:v>-19.7</c:v>
                </c:pt>
                <c:pt idx="1">
                  <c:v>-21.7</c:v>
                </c:pt>
              </c:numCache>
            </c:numRef>
          </c:xVal>
          <c:yVal>
            <c:numRef>
              <c:f>DB!$BW$21:$BX$21</c:f>
              <c:numCache>
                <c:formatCode>0.0</c:formatCode>
                <c:ptCount val="2"/>
                <c:pt idx="0">
                  <c:v>527</c:v>
                </c:pt>
                <c:pt idx="1">
                  <c:v>1111</c:v>
                </c:pt>
              </c:numCache>
            </c:numRef>
          </c:yVal>
          <c:smooth val="0"/>
        </c:ser>
        <c:ser>
          <c:idx val="11"/>
          <c:order val="11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DB!$BU$22:$BV$22</c:f>
              <c:numCache>
                <c:formatCode>0.0</c:formatCode>
                <c:ptCount val="2"/>
                <c:pt idx="0">
                  <c:v>-20.9</c:v>
                </c:pt>
                <c:pt idx="1">
                  <c:v>-21.2</c:v>
                </c:pt>
              </c:numCache>
            </c:numRef>
          </c:xVal>
          <c:yVal>
            <c:numRef>
              <c:f>DB!$BW$22:$BX$22</c:f>
              <c:numCache>
                <c:formatCode>0.0</c:formatCode>
                <c:ptCount val="2"/>
                <c:pt idx="0">
                  <c:v>685</c:v>
                </c:pt>
                <c:pt idx="1">
                  <c:v>1111</c:v>
                </c:pt>
              </c:numCache>
            </c:numRef>
          </c:yVal>
          <c:smooth val="0"/>
        </c:ser>
        <c:ser>
          <c:idx val="12"/>
          <c:order val="12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DB!$BU$23:$BV$23</c:f>
              <c:numCache>
                <c:formatCode>0.0</c:formatCode>
                <c:ptCount val="2"/>
                <c:pt idx="0">
                  <c:v>-18.8</c:v>
                </c:pt>
                <c:pt idx="1">
                  <c:v>-20.9</c:v>
                </c:pt>
              </c:numCache>
            </c:numRef>
          </c:xVal>
          <c:yVal>
            <c:numRef>
              <c:f>DB!$BW$23:$BX$23</c:f>
              <c:numCache>
                <c:formatCode>0.0</c:formatCode>
                <c:ptCount val="2"/>
                <c:pt idx="0">
                  <c:v>410</c:v>
                </c:pt>
                <c:pt idx="1">
                  <c:v>1185</c:v>
                </c:pt>
              </c:numCache>
            </c:numRef>
          </c:yVal>
          <c:smooth val="0"/>
        </c:ser>
        <c:ser>
          <c:idx val="13"/>
          <c:order val="13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DB!$BU$24:$BV$24</c:f>
              <c:numCache>
                <c:formatCode>0.0</c:formatCode>
                <c:ptCount val="2"/>
                <c:pt idx="0">
                  <c:v>-18</c:v>
                </c:pt>
                <c:pt idx="1">
                  <c:v>-24.7</c:v>
                </c:pt>
              </c:numCache>
            </c:numRef>
          </c:xVal>
          <c:yVal>
            <c:numRef>
              <c:f>DB!$BW$24:$BX$24</c:f>
              <c:numCache>
                <c:formatCode>0.0</c:formatCode>
                <c:ptCount val="2"/>
                <c:pt idx="0">
                  <c:v>322</c:v>
                </c:pt>
                <c:pt idx="1">
                  <c:v>1059</c:v>
                </c:pt>
              </c:numCache>
            </c:numRef>
          </c:yVal>
          <c:smooth val="0"/>
        </c:ser>
        <c:ser>
          <c:idx val="14"/>
          <c:order val="14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DB!$BU$25:$BV$25</c:f>
              <c:numCache>
                <c:formatCode>0.0</c:formatCode>
                <c:ptCount val="2"/>
                <c:pt idx="0">
                  <c:v>-19.100000000000001</c:v>
                </c:pt>
                <c:pt idx="1">
                  <c:v>-20.7</c:v>
                </c:pt>
              </c:numCache>
            </c:numRef>
          </c:xVal>
          <c:yVal>
            <c:numRef>
              <c:f>DB!$BW$25:$BX$25</c:f>
              <c:numCache>
                <c:formatCode>0.0</c:formatCode>
                <c:ptCount val="2"/>
                <c:pt idx="0">
                  <c:v>431</c:v>
                </c:pt>
                <c:pt idx="1">
                  <c:v>700</c:v>
                </c:pt>
              </c:numCache>
            </c:numRef>
          </c:yVal>
          <c:smooth val="0"/>
        </c:ser>
        <c:ser>
          <c:idx val="15"/>
          <c:order val="15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DB!$BU$26:$BV$26</c:f>
              <c:numCache>
                <c:formatCode>0.0</c:formatCode>
                <c:ptCount val="2"/>
                <c:pt idx="0">
                  <c:v>-21.3</c:v>
                </c:pt>
                <c:pt idx="1">
                  <c:v>-20</c:v>
                </c:pt>
              </c:numCache>
            </c:numRef>
          </c:xVal>
          <c:yVal>
            <c:numRef>
              <c:f>DB!$BW$26:$BX$26</c:f>
              <c:numCache>
                <c:formatCode>0.0</c:formatCode>
                <c:ptCount val="2"/>
                <c:pt idx="0">
                  <c:v>296</c:v>
                </c:pt>
                <c:pt idx="1">
                  <c:v>506</c:v>
                </c:pt>
              </c:numCache>
            </c:numRef>
          </c:yVal>
          <c:smooth val="0"/>
        </c:ser>
        <c:ser>
          <c:idx val="16"/>
          <c:order val="16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DB!$BU$27:$BV$27</c:f>
              <c:numCache>
                <c:formatCode>0.0</c:formatCode>
                <c:ptCount val="2"/>
                <c:pt idx="0">
                  <c:v>-22.7</c:v>
                </c:pt>
                <c:pt idx="1">
                  <c:v>-22.5</c:v>
                </c:pt>
              </c:numCache>
            </c:numRef>
          </c:xVal>
          <c:yVal>
            <c:numRef>
              <c:f>DB!$BW$27:$BX$27</c:f>
              <c:numCache>
                <c:formatCode>0.0</c:formatCode>
                <c:ptCount val="2"/>
                <c:pt idx="0">
                  <c:v>579</c:v>
                </c:pt>
                <c:pt idx="1">
                  <c:v>1054</c:v>
                </c:pt>
              </c:numCache>
            </c:numRef>
          </c:yVal>
          <c:smooth val="0"/>
        </c:ser>
        <c:ser>
          <c:idx val="17"/>
          <c:order val="17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DB!$BU$28:$BV$28</c:f>
              <c:numCache>
                <c:formatCode>0.0</c:formatCode>
                <c:ptCount val="2"/>
                <c:pt idx="0">
                  <c:v>-22.5</c:v>
                </c:pt>
                <c:pt idx="1">
                  <c:v>-19.5</c:v>
                </c:pt>
              </c:numCache>
            </c:numRef>
          </c:xVal>
          <c:yVal>
            <c:numRef>
              <c:f>DB!$BW$28:$BX$28</c:f>
              <c:numCache>
                <c:formatCode>0.0</c:formatCode>
                <c:ptCount val="2"/>
                <c:pt idx="0">
                  <c:v>585</c:v>
                </c:pt>
                <c:pt idx="1">
                  <c:v>987</c:v>
                </c:pt>
              </c:numCache>
            </c:numRef>
          </c:yVal>
          <c:smooth val="0"/>
        </c:ser>
        <c:ser>
          <c:idx val="18"/>
          <c:order val="18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DB!$BU$29:$BV$29</c:f>
              <c:numCache>
                <c:formatCode>0.0</c:formatCode>
                <c:ptCount val="2"/>
                <c:pt idx="0">
                  <c:v>-23</c:v>
                </c:pt>
                <c:pt idx="1">
                  <c:v>-21</c:v>
                </c:pt>
              </c:numCache>
            </c:numRef>
          </c:xVal>
          <c:yVal>
            <c:numRef>
              <c:f>DB!$BW$29:$BX$29</c:f>
              <c:numCache>
                <c:formatCode>0.0</c:formatCode>
                <c:ptCount val="2"/>
                <c:pt idx="0">
                  <c:v>575</c:v>
                </c:pt>
                <c:pt idx="1">
                  <c:v>1011</c:v>
                </c:pt>
              </c:numCache>
            </c:numRef>
          </c:yVal>
          <c:smooth val="0"/>
        </c:ser>
        <c:ser>
          <c:idx val="19"/>
          <c:order val="19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DB!$BU$30:$BV$30</c:f>
              <c:numCache>
                <c:formatCode>0.0</c:formatCode>
                <c:ptCount val="2"/>
                <c:pt idx="0">
                  <c:v>-23.8</c:v>
                </c:pt>
                <c:pt idx="1">
                  <c:v>-25</c:v>
                </c:pt>
              </c:numCache>
            </c:numRef>
          </c:xVal>
          <c:yVal>
            <c:numRef>
              <c:f>DB!$BW$30:$BX$30</c:f>
              <c:numCache>
                <c:formatCode>0.0</c:formatCode>
                <c:ptCount val="2"/>
                <c:pt idx="0">
                  <c:v>545</c:v>
                </c:pt>
                <c:pt idx="1">
                  <c:v>1289</c:v>
                </c:pt>
              </c:numCache>
            </c:numRef>
          </c:yVal>
          <c:smooth val="0"/>
        </c:ser>
        <c:ser>
          <c:idx val="20"/>
          <c:order val="20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DB!$BU$31:$BV$31</c:f>
              <c:numCache>
                <c:formatCode>0.0</c:formatCode>
                <c:ptCount val="2"/>
                <c:pt idx="0">
                  <c:v>-18.399999999999999</c:v>
                </c:pt>
                <c:pt idx="1">
                  <c:v>-22.5</c:v>
                </c:pt>
              </c:numCache>
            </c:numRef>
          </c:xVal>
          <c:yVal>
            <c:numRef>
              <c:f>DB!$BW$31:$BX$31</c:f>
              <c:numCache>
                <c:formatCode>0.0</c:formatCode>
                <c:ptCount val="2"/>
                <c:pt idx="0">
                  <c:v>392</c:v>
                </c:pt>
                <c:pt idx="1">
                  <c:v>1245</c:v>
                </c:pt>
              </c:numCache>
            </c:numRef>
          </c:yVal>
          <c:smooth val="0"/>
        </c:ser>
        <c:ser>
          <c:idx val="21"/>
          <c:order val="21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DB!$BU$32:$BV$32</c:f>
              <c:numCache>
                <c:formatCode>0.0</c:formatCode>
                <c:ptCount val="2"/>
                <c:pt idx="0">
                  <c:v>-20.399999999999999</c:v>
                </c:pt>
                <c:pt idx="1">
                  <c:v>-22.4</c:v>
                </c:pt>
              </c:numCache>
            </c:numRef>
          </c:xVal>
          <c:yVal>
            <c:numRef>
              <c:f>DB!$BW$32:$BX$32</c:f>
              <c:numCache>
                <c:formatCode>0.0</c:formatCode>
                <c:ptCount val="2"/>
                <c:pt idx="0">
                  <c:v>637</c:v>
                </c:pt>
                <c:pt idx="1">
                  <c:v>1280</c:v>
                </c:pt>
              </c:numCache>
            </c:numRef>
          </c:yVal>
          <c:smooth val="0"/>
        </c:ser>
        <c:ser>
          <c:idx val="22"/>
          <c:order val="22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DB!$BU$33:$BV$33</c:f>
              <c:numCache>
                <c:formatCode>0.0</c:formatCode>
                <c:ptCount val="2"/>
                <c:pt idx="0">
                  <c:v>-20</c:v>
                </c:pt>
                <c:pt idx="1">
                  <c:v>-21.5</c:v>
                </c:pt>
              </c:numCache>
            </c:numRef>
          </c:xVal>
          <c:yVal>
            <c:numRef>
              <c:f>DB!$BW$33:$BX$33</c:f>
              <c:numCache>
                <c:formatCode>0.0</c:formatCode>
                <c:ptCount val="2"/>
                <c:pt idx="0">
                  <c:v>606</c:v>
                </c:pt>
                <c:pt idx="1">
                  <c:v>1190</c:v>
                </c:pt>
              </c:numCache>
            </c:numRef>
          </c:yVal>
          <c:smooth val="0"/>
        </c:ser>
        <c:ser>
          <c:idx val="23"/>
          <c:order val="23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DB!$BU$34:$BV$34</c:f>
              <c:numCache>
                <c:formatCode>0.0</c:formatCode>
                <c:ptCount val="2"/>
                <c:pt idx="0">
                  <c:v>-18.600000000000001</c:v>
                </c:pt>
                <c:pt idx="1">
                  <c:v>-20.7</c:v>
                </c:pt>
              </c:numCache>
            </c:numRef>
          </c:xVal>
          <c:yVal>
            <c:numRef>
              <c:f>DB!$BW$34:$BX$34</c:f>
              <c:numCache>
                <c:formatCode>0.0</c:formatCode>
                <c:ptCount val="2"/>
                <c:pt idx="0">
                  <c:v>420</c:v>
                </c:pt>
                <c:pt idx="1">
                  <c:v>1340</c:v>
                </c:pt>
              </c:numCache>
            </c:numRef>
          </c:yVal>
          <c:smooth val="0"/>
        </c:ser>
        <c:ser>
          <c:idx val="24"/>
          <c:order val="24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DB!$BU$35:$BV$35</c:f>
              <c:numCache>
                <c:formatCode>0.0</c:formatCode>
                <c:ptCount val="2"/>
                <c:pt idx="0">
                  <c:v>-24.5</c:v>
                </c:pt>
                <c:pt idx="1">
                  <c:v>-21.3</c:v>
                </c:pt>
              </c:numCache>
            </c:numRef>
          </c:xVal>
          <c:yVal>
            <c:numRef>
              <c:f>DB!$BW$35:$BX$35</c:f>
              <c:numCache>
                <c:formatCode>0.0</c:formatCode>
                <c:ptCount val="2"/>
                <c:pt idx="0">
                  <c:v>463</c:v>
                </c:pt>
                <c:pt idx="1">
                  <c:v>985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79520"/>
        <c:axId val="99246848"/>
      </c:scatterChart>
      <c:valAx>
        <c:axId val="89979520"/>
        <c:scaling>
          <c:orientation val="minMax"/>
          <c:max val="-17"/>
          <c:min val="-2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Frozen food compartment temperature [°C]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9246848"/>
        <c:crosses val="autoZero"/>
        <c:crossBetween val="midCat"/>
      </c:valAx>
      <c:valAx>
        <c:axId val="99246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consumption [Wh/d]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89979520"/>
        <c:crossesAt val="-3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Category 7 Type I (blue=16, red=32 C)</a:t>
            </a:r>
          </a:p>
        </c:rich>
      </c:tx>
      <c:layout>
        <c:manualLayout>
          <c:xMode val="edge"/>
          <c:yMode val="edge"/>
          <c:x val="5.4982892763404567E-2"/>
          <c:y val="2.1621621621621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81599175103111"/>
          <c:y val="0.10390295807618642"/>
          <c:w val="0.79252437195350578"/>
          <c:h val="0.76775484145562889"/>
        </c:manualLayout>
      </c:layout>
      <c:scatterChart>
        <c:scatterStyle val="lineMarker"/>
        <c:varyColors val="0"/>
        <c:ser>
          <c:idx val="0"/>
          <c:order val="0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DB!$BU$11:$BV$11</c:f>
              <c:numCache>
                <c:formatCode>0.0</c:formatCode>
                <c:ptCount val="2"/>
                <c:pt idx="0">
                  <c:v>-19.2</c:v>
                </c:pt>
                <c:pt idx="1">
                  <c:v>-19.7</c:v>
                </c:pt>
              </c:numCache>
            </c:numRef>
          </c:xVal>
          <c:yVal>
            <c:numRef>
              <c:f>DB!$BW$11:$BX$11</c:f>
              <c:numCache>
                <c:formatCode>0.0</c:formatCode>
                <c:ptCount val="2"/>
                <c:pt idx="0">
                  <c:v>218</c:v>
                </c:pt>
                <c:pt idx="1">
                  <c:v>506</c:v>
                </c:pt>
              </c:numCache>
            </c:numRef>
          </c:yVal>
          <c:smooth val="0"/>
        </c:ser>
        <c:ser>
          <c:idx val="1"/>
          <c:order val="1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DB!$BU$12:$BV$12</c:f>
              <c:numCache>
                <c:formatCode>0.0</c:formatCode>
                <c:ptCount val="2"/>
                <c:pt idx="0">
                  <c:v>-20.6</c:v>
                </c:pt>
                <c:pt idx="1">
                  <c:v>-22.4</c:v>
                </c:pt>
              </c:numCache>
            </c:numRef>
          </c:xVal>
          <c:yVal>
            <c:numRef>
              <c:f>DB!$BW$12:$BX$12</c:f>
              <c:numCache>
                <c:formatCode>0.0</c:formatCode>
                <c:ptCount val="2"/>
                <c:pt idx="0">
                  <c:v>413</c:v>
                </c:pt>
                <c:pt idx="1">
                  <c:v>729</c:v>
                </c:pt>
              </c:numCache>
            </c:numRef>
          </c:yVal>
          <c:smooth val="0"/>
        </c:ser>
        <c:ser>
          <c:idx val="2"/>
          <c:order val="2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DB!$BU$13:$BV$13</c:f>
              <c:numCache>
                <c:formatCode>0.0</c:formatCode>
                <c:ptCount val="2"/>
                <c:pt idx="0">
                  <c:v>-24.6</c:v>
                </c:pt>
                <c:pt idx="1">
                  <c:v>-21</c:v>
                </c:pt>
              </c:numCache>
            </c:numRef>
          </c:xVal>
          <c:yVal>
            <c:numRef>
              <c:f>DB!$BW$13:$BX$13</c:f>
              <c:numCache>
                <c:formatCode>0.0</c:formatCode>
                <c:ptCount val="2"/>
                <c:pt idx="0">
                  <c:v>659</c:v>
                </c:pt>
                <c:pt idx="1">
                  <c:v>657</c:v>
                </c:pt>
              </c:numCache>
            </c:numRef>
          </c:yVal>
          <c:smooth val="0"/>
        </c:ser>
        <c:ser>
          <c:idx val="3"/>
          <c:order val="3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DB!$BU$14:$BV$14</c:f>
              <c:numCache>
                <c:formatCode>0.0</c:formatCode>
                <c:ptCount val="2"/>
                <c:pt idx="0">
                  <c:v>-25.6</c:v>
                </c:pt>
                <c:pt idx="1">
                  <c:v>-23.2</c:v>
                </c:pt>
              </c:numCache>
            </c:numRef>
          </c:xVal>
          <c:yVal>
            <c:numRef>
              <c:f>DB!$BW$14:$BX$14</c:f>
              <c:numCache>
                <c:formatCode>0.0</c:formatCode>
                <c:ptCount val="2"/>
                <c:pt idx="0">
                  <c:v>586</c:v>
                </c:pt>
                <c:pt idx="1">
                  <c:v>937</c:v>
                </c:pt>
              </c:numCache>
            </c:numRef>
          </c:yVal>
          <c:smooth val="0"/>
        </c:ser>
        <c:ser>
          <c:idx val="4"/>
          <c:order val="4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DB!$BU$15:$BV$15</c:f>
              <c:numCache>
                <c:formatCode>0.0</c:formatCode>
                <c:ptCount val="2"/>
                <c:pt idx="0">
                  <c:v>-18.5</c:v>
                </c:pt>
                <c:pt idx="1">
                  <c:v>-20.5</c:v>
                </c:pt>
              </c:numCache>
            </c:numRef>
          </c:xVal>
          <c:yVal>
            <c:numRef>
              <c:f>DB!$BW$15:$BX$15</c:f>
              <c:numCache>
                <c:formatCode>0.0</c:formatCode>
                <c:ptCount val="2"/>
                <c:pt idx="0">
                  <c:v>312</c:v>
                </c:pt>
                <c:pt idx="1">
                  <c:v>931</c:v>
                </c:pt>
              </c:numCache>
            </c:numRef>
          </c:yVal>
          <c:smooth val="0"/>
        </c:ser>
        <c:ser>
          <c:idx val="5"/>
          <c:order val="5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DB!$BU$16:$BV$16</c:f>
              <c:numCache>
                <c:formatCode>0.0</c:formatCode>
                <c:ptCount val="2"/>
                <c:pt idx="0">
                  <c:v>-21.5</c:v>
                </c:pt>
                <c:pt idx="1">
                  <c:v>-20.7</c:v>
                </c:pt>
              </c:numCache>
            </c:numRef>
          </c:xVal>
          <c:yVal>
            <c:numRef>
              <c:f>DB!$BW$16:$BX$16</c:f>
              <c:numCache>
                <c:formatCode>0.0</c:formatCode>
                <c:ptCount val="2"/>
                <c:pt idx="0">
                  <c:v>425</c:v>
                </c:pt>
                <c:pt idx="1">
                  <c:v>590</c:v>
                </c:pt>
              </c:numCache>
            </c:numRef>
          </c:yVal>
          <c:smooth val="0"/>
        </c:ser>
        <c:ser>
          <c:idx val="6"/>
          <c:order val="6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DB!$BU$17:$BV$17</c:f>
              <c:numCache>
                <c:formatCode>0.0</c:formatCode>
                <c:ptCount val="2"/>
                <c:pt idx="0">
                  <c:v>-20.100000000000001</c:v>
                </c:pt>
                <c:pt idx="1">
                  <c:v>-22.3</c:v>
                </c:pt>
              </c:numCache>
            </c:numRef>
          </c:xVal>
          <c:yVal>
            <c:numRef>
              <c:f>DB!$BW$17:$BX$17</c:f>
              <c:numCache>
                <c:formatCode>0.0</c:formatCode>
                <c:ptCount val="2"/>
                <c:pt idx="0">
                  <c:v>288</c:v>
                </c:pt>
                <c:pt idx="1">
                  <c:v>605</c:v>
                </c:pt>
              </c:numCache>
            </c:numRef>
          </c:yVal>
          <c:smooth val="0"/>
        </c:ser>
        <c:ser>
          <c:idx val="7"/>
          <c:order val="7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DB!$BU$18:$BV$18</c:f>
              <c:numCache>
                <c:formatCode>0.0</c:formatCode>
                <c:ptCount val="2"/>
                <c:pt idx="0">
                  <c:v>-23.2</c:v>
                </c:pt>
                <c:pt idx="1">
                  <c:v>-21.6</c:v>
                </c:pt>
              </c:numCache>
            </c:numRef>
          </c:xVal>
          <c:yVal>
            <c:numRef>
              <c:f>DB!$BW$18:$BX$18</c:f>
              <c:numCache>
                <c:formatCode>0.0</c:formatCode>
                <c:ptCount val="2"/>
                <c:pt idx="0">
                  <c:v>521</c:v>
                </c:pt>
                <c:pt idx="1">
                  <c:v>867</c:v>
                </c:pt>
              </c:numCache>
            </c:numRef>
          </c:yVal>
          <c:smooth val="0"/>
        </c:ser>
        <c:ser>
          <c:idx val="8"/>
          <c:order val="8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DB!$BU$19:$BV$19</c:f>
              <c:numCache>
                <c:formatCode>0.0</c:formatCode>
                <c:ptCount val="2"/>
                <c:pt idx="0">
                  <c:v>-21.8</c:v>
                </c:pt>
                <c:pt idx="1">
                  <c:v>-20.6</c:v>
                </c:pt>
              </c:numCache>
            </c:numRef>
          </c:xVal>
          <c:yVal>
            <c:numRef>
              <c:f>DB!$BW$19:$BX$19</c:f>
              <c:numCache>
                <c:formatCode>0.0</c:formatCode>
                <c:ptCount val="2"/>
                <c:pt idx="0">
                  <c:v>522</c:v>
                </c:pt>
                <c:pt idx="1">
                  <c:v>904</c:v>
                </c:pt>
              </c:numCache>
            </c:numRef>
          </c:yVal>
          <c:smooth val="0"/>
        </c:ser>
        <c:ser>
          <c:idx val="9"/>
          <c:order val="9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DB!$BU$20:$BV$20</c:f>
              <c:numCache>
                <c:formatCode>0.0</c:formatCode>
                <c:ptCount val="2"/>
                <c:pt idx="0">
                  <c:v>-21.1</c:v>
                </c:pt>
                <c:pt idx="1">
                  <c:v>-22.6</c:v>
                </c:pt>
              </c:numCache>
            </c:numRef>
          </c:xVal>
          <c:yVal>
            <c:numRef>
              <c:f>DB!$BW$20:$BX$20</c:f>
              <c:numCache>
                <c:formatCode>0.0</c:formatCode>
                <c:ptCount val="2"/>
                <c:pt idx="0">
                  <c:v>450</c:v>
                </c:pt>
                <c:pt idx="1">
                  <c:v>1089</c:v>
                </c:pt>
              </c:numCache>
            </c:numRef>
          </c:yVal>
          <c:smooth val="0"/>
        </c:ser>
        <c:ser>
          <c:idx val="10"/>
          <c:order val="10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DB!$BU$21:$BV$21</c:f>
              <c:numCache>
                <c:formatCode>0.0</c:formatCode>
                <c:ptCount val="2"/>
                <c:pt idx="0">
                  <c:v>-19.7</c:v>
                </c:pt>
                <c:pt idx="1">
                  <c:v>-21.7</c:v>
                </c:pt>
              </c:numCache>
            </c:numRef>
          </c:xVal>
          <c:yVal>
            <c:numRef>
              <c:f>DB!$BW$21:$BX$21</c:f>
              <c:numCache>
                <c:formatCode>0.0</c:formatCode>
                <c:ptCount val="2"/>
                <c:pt idx="0">
                  <c:v>527</c:v>
                </c:pt>
                <c:pt idx="1">
                  <c:v>1111</c:v>
                </c:pt>
              </c:numCache>
            </c:numRef>
          </c:yVal>
          <c:smooth val="0"/>
        </c:ser>
        <c:ser>
          <c:idx val="11"/>
          <c:order val="11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DB!$BU$22:$BV$22</c:f>
              <c:numCache>
                <c:formatCode>0.0</c:formatCode>
                <c:ptCount val="2"/>
                <c:pt idx="0">
                  <c:v>-20.9</c:v>
                </c:pt>
                <c:pt idx="1">
                  <c:v>-21.2</c:v>
                </c:pt>
              </c:numCache>
            </c:numRef>
          </c:xVal>
          <c:yVal>
            <c:numRef>
              <c:f>DB!$BW$22:$BX$22</c:f>
              <c:numCache>
                <c:formatCode>0.0</c:formatCode>
                <c:ptCount val="2"/>
                <c:pt idx="0">
                  <c:v>685</c:v>
                </c:pt>
                <c:pt idx="1">
                  <c:v>1111</c:v>
                </c:pt>
              </c:numCache>
            </c:numRef>
          </c:yVal>
          <c:smooth val="0"/>
        </c:ser>
        <c:ser>
          <c:idx val="12"/>
          <c:order val="12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DB!$BU$23:$BV$23</c:f>
              <c:numCache>
                <c:formatCode>0.0</c:formatCode>
                <c:ptCount val="2"/>
                <c:pt idx="0">
                  <c:v>-18.8</c:v>
                </c:pt>
                <c:pt idx="1">
                  <c:v>-20.9</c:v>
                </c:pt>
              </c:numCache>
            </c:numRef>
          </c:xVal>
          <c:yVal>
            <c:numRef>
              <c:f>DB!$BW$23:$BX$23</c:f>
              <c:numCache>
                <c:formatCode>0.0</c:formatCode>
                <c:ptCount val="2"/>
                <c:pt idx="0">
                  <c:v>410</c:v>
                </c:pt>
                <c:pt idx="1">
                  <c:v>1185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23424"/>
        <c:axId val="100825344"/>
      </c:scatterChart>
      <c:valAx>
        <c:axId val="100823424"/>
        <c:scaling>
          <c:orientation val="minMax"/>
          <c:max val="-17.8"/>
          <c:min val="-2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Frozen food compartment temperature [°C]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0825344"/>
        <c:crosses val="autoZero"/>
        <c:crossBetween val="midCat"/>
      </c:valAx>
      <c:valAx>
        <c:axId val="100825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consumption [Wh/d]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0823424"/>
        <c:crossesAt val="-30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Category 7 Type I (blue=16, red=32C</a:t>
            </a:r>
          </a:p>
        </c:rich>
      </c:tx>
      <c:layout>
        <c:manualLayout>
          <c:xMode val="edge"/>
          <c:yMode val="edge"/>
          <c:x val="1.9268607049118858E-2"/>
          <c:y val="2.5225225225225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86361079865018"/>
          <c:y val="0.10390295807618642"/>
          <c:w val="0.79847675290588671"/>
          <c:h val="0.76415123785202521"/>
        </c:manualLayout>
      </c:layout>
      <c:scatterChart>
        <c:scatterStyle val="lineMarker"/>
        <c:varyColors val="0"/>
        <c:ser>
          <c:idx val="13"/>
          <c:order val="0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DB!$BU$24:$BV$24</c:f>
              <c:numCache>
                <c:formatCode>0.0</c:formatCode>
                <c:ptCount val="2"/>
                <c:pt idx="0">
                  <c:v>-18</c:v>
                </c:pt>
                <c:pt idx="1">
                  <c:v>-24.7</c:v>
                </c:pt>
              </c:numCache>
            </c:numRef>
          </c:xVal>
          <c:yVal>
            <c:numRef>
              <c:f>DB!$BW$24:$BX$24</c:f>
              <c:numCache>
                <c:formatCode>0.0</c:formatCode>
                <c:ptCount val="2"/>
                <c:pt idx="0">
                  <c:v>322</c:v>
                </c:pt>
                <c:pt idx="1">
                  <c:v>1059</c:v>
                </c:pt>
              </c:numCache>
            </c:numRef>
          </c:yVal>
          <c:smooth val="0"/>
        </c:ser>
        <c:ser>
          <c:idx val="14"/>
          <c:order val="1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DB!$BU$25:$BV$25</c:f>
              <c:numCache>
                <c:formatCode>0.0</c:formatCode>
                <c:ptCount val="2"/>
                <c:pt idx="0">
                  <c:v>-19.100000000000001</c:v>
                </c:pt>
                <c:pt idx="1">
                  <c:v>-20.7</c:v>
                </c:pt>
              </c:numCache>
            </c:numRef>
          </c:xVal>
          <c:yVal>
            <c:numRef>
              <c:f>DB!$BW$25:$BX$25</c:f>
              <c:numCache>
                <c:formatCode>0.0</c:formatCode>
                <c:ptCount val="2"/>
                <c:pt idx="0">
                  <c:v>431</c:v>
                </c:pt>
                <c:pt idx="1">
                  <c:v>700</c:v>
                </c:pt>
              </c:numCache>
            </c:numRef>
          </c:yVal>
          <c:smooth val="0"/>
        </c:ser>
        <c:ser>
          <c:idx val="15"/>
          <c:order val="2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DB!$BU$26:$BV$26</c:f>
              <c:numCache>
                <c:formatCode>0.0</c:formatCode>
                <c:ptCount val="2"/>
                <c:pt idx="0">
                  <c:v>-21.3</c:v>
                </c:pt>
                <c:pt idx="1">
                  <c:v>-20</c:v>
                </c:pt>
              </c:numCache>
            </c:numRef>
          </c:xVal>
          <c:yVal>
            <c:numRef>
              <c:f>DB!$BW$26:$BX$26</c:f>
              <c:numCache>
                <c:formatCode>0.0</c:formatCode>
                <c:ptCount val="2"/>
                <c:pt idx="0">
                  <c:v>296</c:v>
                </c:pt>
                <c:pt idx="1">
                  <c:v>506</c:v>
                </c:pt>
              </c:numCache>
            </c:numRef>
          </c:yVal>
          <c:smooth val="0"/>
        </c:ser>
        <c:ser>
          <c:idx val="16"/>
          <c:order val="3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8.9285714285714836E-3"/>
                  <c:y val="2.8828828828828829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17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DB!$BU$27:$BV$27</c:f>
              <c:numCache>
                <c:formatCode>0.0</c:formatCode>
                <c:ptCount val="2"/>
                <c:pt idx="0">
                  <c:v>-22.7</c:v>
                </c:pt>
                <c:pt idx="1">
                  <c:v>-22.5</c:v>
                </c:pt>
              </c:numCache>
            </c:numRef>
          </c:xVal>
          <c:yVal>
            <c:numRef>
              <c:f>DB!$BW$27:$BX$27</c:f>
              <c:numCache>
                <c:formatCode>0.0</c:formatCode>
                <c:ptCount val="2"/>
                <c:pt idx="0">
                  <c:v>579</c:v>
                </c:pt>
                <c:pt idx="1">
                  <c:v>1054</c:v>
                </c:pt>
              </c:numCache>
            </c:numRef>
          </c:yVal>
          <c:smooth val="0"/>
        </c:ser>
        <c:ser>
          <c:idx val="17"/>
          <c:order val="4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5.4562861748657112E-17"/>
                  <c:y val="-7.2072072072071414E-3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DB!$BU$28:$BV$28</c:f>
              <c:numCache>
                <c:formatCode>0.0</c:formatCode>
                <c:ptCount val="2"/>
                <c:pt idx="0">
                  <c:v>-22.5</c:v>
                </c:pt>
                <c:pt idx="1">
                  <c:v>-19.5</c:v>
                </c:pt>
              </c:numCache>
            </c:numRef>
          </c:xVal>
          <c:yVal>
            <c:numRef>
              <c:f>DB!$BW$28:$BX$28</c:f>
              <c:numCache>
                <c:formatCode>0.0</c:formatCode>
                <c:ptCount val="2"/>
                <c:pt idx="0">
                  <c:v>585</c:v>
                </c:pt>
                <c:pt idx="1">
                  <c:v>987</c:v>
                </c:pt>
              </c:numCache>
            </c:numRef>
          </c:yVal>
          <c:smooth val="0"/>
        </c:ser>
        <c:ser>
          <c:idx val="18"/>
          <c:order val="5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2.3809523809523864E-2"/>
                  <c:y val="3.2432432432432434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DB!$BU$29:$BV$29</c:f>
              <c:numCache>
                <c:formatCode>0.0</c:formatCode>
                <c:ptCount val="2"/>
                <c:pt idx="0">
                  <c:v>-23</c:v>
                </c:pt>
                <c:pt idx="1">
                  <c:v>-21</c:v>
                </c:pt>
              </c:numCache>
            </c:numRef>
          </c:xVal>
          <c:yVal>
            <c:numRef>
              <c:f>DB!$BW$29:$BX$29</c:f>
              <c:numCache>
                <c:formatCode>0.0</c:formatCode>
                <c:ptCount val="2"/>
                <c:pt idx="0">
                  <c:v>575</c:v>
                </c:pt>
                <c:pt idx="1">
                  <c:v>1011</c:v>
                </c:pt>
              </c:numCache>
            </c:numRef>
          </c:yVal>
          <c:smooth val="0"/>
        </c:ser>
        <c:ser>
          <c:idx val="19"/>
          <c:order val="6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DB!$BU$30:$BV$30</c:f>
              <c:numCache>
                <c:formatCode>0.0</c:formatCode>
                <c:ptCount val="2"/>
                <c:pt idx="0">
                  <c:v>-23.8</c:v>
                </c:pt>
                <c:pt idx="1">
                  <c:v>-25</c:v>
                </c:pt>
              </c:numCache>
            </c:numRef>
          </c:xVal>
          <c:yVal>
            <c:numRef>
              <c:f>DB!$BW$30:$BX$30</c:f>
              <c:numCache>
                <c:formatCode>0.0</c:formatCode>
                <c:ptCount val="2"/>
                <c:pt idx="0">
                  <c:v>545</c:v>
                </c:pt>
                <c:pt idx="1">
                  <c:v>1289</c:v>
                </c:pt>
              </c:numCache>
            </c:numRef>
          </c:yVal>
          <c:smooth val="0"/>
        </c:ser>
        <c:ser>
          <c:idx val="20"/>
          <c:order val="7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DB!$BU$31:$BV$31</c:f>
              <c:numCache>
                <c:formatCode>0.0</c:formatCode>
                <c:ptCount val="2"/>
                <c:pt idx="0">
                  <c:v>-18.399999999999999</c:v>
                </c:pt>
                <c:pt idx="1">
                  <c:v>-22.5</c:v>
                </c:pt>
              </c:numCache>
            </c:numRef>
          </c:xVal>
          <c:yVal>
            <c:numRef>
              <c:f>DB!$BW$31:$BX$31</c:f>
              <c:numCache>
                <c:formatCode>0.0</c:formatCode>
                <c:ptCount val="2"/>
                <c:pt idx="0">
                  <c:v>392</c:v>
                </c:pt>
                <c:pt idx="1">
                  <c:v>1245</c:v>
                </c:pt>
              </c:numCache>
            </c:numRef>
          </c:yVal>
          <c:smooth val="0"/>
        </c:ser>
        <c:ser>
          <c:idx val="21"/>
          <c:order val="8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DB!$BU$32:$BV$32</c:f>
              <c:numCache>
                <c:formatCode>0.0</c:formatCode>
                <c:ptCount val="2"/>
                <c:pt idx="0">
                  <c:v>-20.399999999999999</c:v>
                </c:pt>
                <c:pt idx="1">
                  <c:v>-22.4</c:v>
                </c:pt>
              </c:numCache>
            </c:numRef>
          </c:xVal>
          <c:yVal>
            <c:numRef>
              <c:f>DB!$BW$32:$BX$32</c:f>
              <c:numCache>
                <c:formatCode>0.0</c:formatCode>
                <c:ptCount val="2"/>
                <c:pt idx="0">
                  <c:v>637</c:v>
                </c:pt>
                <c:pt idx="1">
                  <c:v>1280</c:v>
                </c:pt>
              </c:numCache>
            </c:numRef>
          </c:yVal>
          <c:smooth val="0"/>
        </c:ser>
        <c:ser>
          <c:idx val="22"/>
          <c:order val="9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DB!$BU$33:$BV$33</c:f>
              <c:numCache>
                <c:formatCode>0.0</c:formatCode>
                <c:ptCount val="2"/>
                <c:pt idx="0">
                  <c:v>-20</c:v>
                </c:pt>
                <c:pt idx="1">
                  <c:v>-21.5</c:v>
                </c:pt>
              </c:numCache>
            </c:numRef>
          </c:xVal>
          <c:yVal>
            <c:numRef>
              <c:f>DB!$BW$33:$BX$33</c:f>
              <c:numCache>
                <c:formatCode>0.0</c:formatCode>
                <c:ptCount val="2"/>
                <c:pt idx="0">
                  <c:v>606</c:v>
                </c:pt>
                <c:pt idx="1">
                  <c:v>1190</c:v>
                </c:pt>
              </c:numCache>
            </c:numRef>
          </c:yVal>
          <c:smooth val="0"/>
        </c:ser>
        <c:ser>
          <c:idx val="23"/>
          <c:order val="10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DB!$BU$34:$BV$34</c:f>
              <c:numCache>
                <c:formatCode>0.0</c:formatCode>
                <c:ptCount val="2"/>
                <c:pt idx="0">
                  <c:v>-18.600000000000001</c:v>
                </c:pt>
                <c:pt idx="1">
                  <c:v>-20.7</c:v>
                </c:pt>
              </c:numCache>
            </c:numRef>
          </c:xVal>
          <c:yVal>
            <c:numRef>
              <c:f>DB!$BW$34:$BX$34</c:f>
              <c:numCache>
                <c:formatCode>0.0</c:formatCode>
                <c:ptCount val="2"/>
                <c:pt idx="0">
                  <c:v>420</c:v>
                </c:pt>
                <c:pt idx="1">
                  <c:v>1340</c:v>
                </c:pt>
              </c:numCache>
            </c:numRef>
          </c:yVal>
          <c:smooth val="0"/>
        </c:ser>
        <c:ser>
          <c:idx val="24"/>
          <c:order val="11"/>
          <c:dPt>
            <c:idx val="0"/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  <c:spPr>
              <a:ln>
                <a:solidFill>
                  <a:srgbClr val="0000FF"/>
                </a:solidFill>
              </a:ln>
            </c:spPr>
          </c:dPt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DB!$BU$35:$BV$35</c:f>
              <c:numCache>
                <c:formatCode>0.0</c:formatCode>
                <c:ptCount val="2"/>
                <c:pt idx="0">
                  <c:v>-24.5</c:v>
                </c:pt>
                <c:pt idx="1">
                  <c:v>-21.3</c:v>
                </c:pt>
              </c:numCache>
            </c:numRef>
          </c:xVal>
          <c:yVal>
            <c:numRef>
              <c:f>DB!$BW$35:$BX$35</c:f>
              <c:numCache>
                <c:formatCode>0.0</c:formatCode>
                <c:ptCount val="2"/>
                <c:pt idx="0">
                  <c:v>463</c:v>
                </c:pt>
                <c:pt idx="1">
                  <c:v>985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23296"/>
        <c:axId val="103637760"/>
      </c:scatterChart>
      <c:valAx>
        <c:axId val="103623296"/>
        <c:scaling>
          <c:orientation val="minMax"/>
          <c:max val="-17.8"/>
          <c:min val="-2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Frozen food compartment temperature [°C]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3637760"/>
        <c:crosses val="autoZero"/>
        <c:crossBetween val="midCat"/>
      </c:valAx>
      <c:valAx>
        <c:axId val="103637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consumption [Wh/d]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3623296"/>
        <c:crossesAt val="-30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</c:marker>
          <c:dLbls>
            <c:dLbl>
              <c:idx val="0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DB!$CA$11</c:f>
                  <c:strCache>
                    <c:ptCount val="1"/>
                    <c:pt idx="0">
                      <c:v>3.7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DB!$CA$12</c:f>
                  <c:strCache>
                    <c:ptCount val="1"/>
                    <c:pt idx="0">
                      <c:v>-18.5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043780985710117E-2"/>
                  <c:y val="2.3809523809523812E-3"/>
                </c:manualLayout>
              </c:layout>
              <c:tx>
                <c:strRef>
                  <c:f>DB!$CA$13</c:f>
                  <c:strCache>
                    <c:ptCount val="1"/>
                    <c:pt idx="0">
                      <c:v>-18.9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DB!$CA$14</c:f>
                  <c:strCache>
                    <c:ptCount val="1"/>
                    <c:pt idx="0">
                      <c:v>-19.6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882395124249391E-3"/>
                  <c:y val="0"/>
                </c:manualLayout>
              </c:layout>
              <c:tx>
                <c:strRef>
                  <c:f>DB!$CA$15</c:f>
                  <c:strCache>
                    <c:ptCount val="1"/>
                    <c:pt idx="0">
                      <c:v>3.7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DB!$CA$16</c:f>
                  <c:strCache>
                    <c:ptCount val="1"/>
                    <c:pt idx="0">
                      <c:v>-18.4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DB!$CA$17</c:f>
                  <c:strCache>
                    <c:ptCount val="1"/>
                    <c:pt idx="0">
                      <c:v>-18.5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DB!$CA$18</c:f>
                  <c:strCache>
                    <c:ptCount val="1"/>
                    <c:pt idx="0">
                      <c:v>4.6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DB!$CA$19</c:f>
                  <c:strCache>
                    <c:ptCount val="1"/>
                    <c:pt idx="0">
                      <c:v>3.3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DB!$CA$20</c:f>
                  <c:strCache>
                    <c:ptCount val="1"/>
                    <c:pt idx="0">
                      <c:v>4.5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DB!$CA$21</c:f>
                  <c:strCache>
                    <c:ptCount val="1"/>
                    <c:pt idx="0">
                      <c:v>-18.2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DB!$CA$22</c:f>
                  <c:strCache>
                    <c:ptCount val="1"/>
                    <c:pt idx="0">
                      <c:v>4.7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DB!$CA$23</c:f>
                  <c:strCache>
                    <c:ptCount val="1"/>
                    <c:pt idx="0">
                      <c:v>4.6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6.4885801024256312E-3"/>
                  <c:y val="0"/>
                </c:manualLayout>
              </c:layout>
              <c:tx>
                <c:strRef>
                  <c:f>DB!$CA$24</c:f>
                  <c:strCache>
                    <c:ptCount val="1"/>
                    <c:pt idx="0">
                      <c:v>-20.8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DB!$CA$25</c:f>
                  <c:strCache>
                    <c:ptCount val="1"/>
                    <c:pt idx="0">
                      <c:v>-18.8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DB!$CA$26</c:f>
                  <c:strCache>
                    <c:ptCount val="1"/>
                    <c:pt idx="0">
                      <c:v>-18.6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DB!$CA$27</c:f>
                  <c:strCache>
                    <c:ptCount val="1"/>
                    <c:pt idx="0">
                      <c:v>4.9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DB!$CA$28</c:f>
                  <c:strCache>
                    <c:ptCount val="1"/>
                    <c:pt idx="0">
                      <c:v>4.6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DB!$CA$29</c:f>
                  <c:strCache>
                    <c:ptCount val="1"/>
                    <c:pt idx="0">
                      <c:v>4.1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DB!$CA$30</c:f>
                  <c:strCache>
                    <c:ptCount val="1"/>
                    <c:pt idx="0">
                      <c:v>-18.0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DB!$CA$31</c:f>
                  <c:strCache>
                    <c:ptCount val="1"/>
                    <c:pt idx="0">
                      <c:v>-18.0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6.488239512424979E-3"/>
                  <c:y val="-1.0869565217391304E-2"/>
                </c:manualLayout>
              </c:layout>
              <c:tx>
                <c:strRef>
                  <c:f>DB!$CA$32</c:f>
                  <c:strCache>
                    <c:ptCount val="1"/>
                    <c:pt idx="0">
                      <c:v>3.7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DB!$CA$33</c:f>
                  <c:strCache>
                    <c:ptCount val="1"/>
                    <c:pt idx="0">
                      <c:v>-18.6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DB!$CA$34</c:f>
                  <c:strCache>
                    <c:ptCount val="1"/>
                    <c:pt idx="0">
                      <c:v>-18.1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6.488239512424979E-3"/>
                  <c:y val="0"/>
                </c:manualLayout>
              </c:layout>
              <c:tx>
                <c:strRef>
                  <c:f>DB!$CA$35</c:f>
                  <c:strCache>
                    <c:ptCount val="1"/>
                    <c:pt idx="0">
                      <c:v>-21.0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DB!$BZ$11:$BZ$35</c:f>
              <c:numCache>
                <c:formatCode>0.00</c:formatCode>
                <c:ptCount val="25"/>
                <c:pt idx="0">
                  <c:v>0.43083003952569171</c:v>
                </c:pt>
                <c:pt idx="1">
                  <c:v>0.56652949245541839</c:v>
                </c:pt>
                <c:pt idx="2">
                  <c:v>1.0030441400304415</c:v>
                </c:pt>
                <c:pt idx="3">
                  <c:v>0.62540021344717178</c:v>
                </c:pt>
                <c:pt idx="4">
                  <c:v>0.33512352309344789</c:v>
                </c:pt>
                <c:pt idx="5">
                  <c:v>0.72033898305084743</c:v>
                </c:pt>
                <c:pt idx="6">
                  <c:v>0.47603305785123967</c:v>
                </c:pt>
                <c:pt idx="7">
                  <c:v>0.60092272202998842</c:v>
                </c:pt>
                <c:pt idx="8">
                  <c:v>0.57743362831858402</c:v>
                </c:pt>
                <c:pt idx="9">
                  <c:v>0.41322314049586778</c:v>
                </c:pt>
                <c:pt idx="10">
                  <c:v>0.47434743474347435</c:v>
                </c:pt>
                <c:pt idx="11">
                  <c:v>0.61656165616561653</c:v>
                </c:pt>
                <c:pt idx="12">
                  <c:v>0.34599156118143459</c:v>
                </c:pt>
                <c:pt idx="13">
                  <c:v>0.3040604343720491</c:v>
                </c:pt>
                <c:pt idx="14">
                  <c:v>0.61571428571428577</c:v>
                </c:pt>
                <c:pt idx="15">
                  <c:v>0.58498023715415015</c:v>
                </c:pt>
                <c:pt idx="16">
                  <c:v>0.54933586337760909</c:v>
                </c:pt>
                <c:pt idx="17">
                  <c:v>0.59270516717325228</c:v>
                </c:pt>
                <c:pt idx="18">
                  <c:v>0.56874381800197826</c:v>
                </c:pt>
                <c:pt idx="19">
                  <c:v>0.42280837858805276</c:v>
                </c:pt>
                <c:pt idx="20">
                  <c:v>0.314859437751004</c:v>
                </c:pt>
                <c:pt idx="21">
                  <c:v>0.49765625000000002</c:v>
                </c:pt>
                <c:pt idx="22">
                  <c:v>0.50924369747899156</c:v>
                </c:pt>
                <c:pt idx="23">
                  <c:v>0.31343283582089554</c:v>
                </c:pt>
                <c:pt idx="24">
                  <c:v>0.4700507614213198</c:v>
                </c:pt>
              </c:numCache>
            </c:numRef>
          </c:xVal>
          <c:yVal>
            <c:numRef>
              <c:f>DB!$BH$11:$BH$35</c:f>
              <c:numCache>
                <c:formatCode>0.0</c:formatCode>
                <c:ptCount val="25"/>
                <c:pt idx="0">
                  <c:v>12.759643916913946</c:v>
                </c:pt>
                <c:pt idx="1">
                  <c:v>33.653846153846153</c:v>
                </c:pt>
                <c:pt idx="2">
                  <c:v>74.96675531914893</c:v>
                </c:pt>
                <c:pt idx="3">
                  <c:v>25.149760383386582</c:v>
                </c:pt>
                <c:pt idx="4">
                  <c:v>11.330101180438449</c:v>
                </c:pt>
                <c:pt idx="5">
                  <c:v>39.572102425876011</c:v>
                </c:pt>
                <c:pt idx="6">
                  <c:v>31.3556338028169</c:v>
                </c:pt>
                <c:pt idx="7">
                  <c:v>34.769303201506588</c:v>
                </c:pt>
                <c:pt idx="8">
                  <c:v>22.201492537313435</c:v>
                </c:pt>
                <c:pt idx="9">
                  <c:v>22.828148710166921</c:v>
                </c:pt>
                <c:pt idx="10">
                  <c:v>32.63565891472868</c:v>
                </c:pt>
                <c:pt idx="11">
                  <c:v>39.46078431372549</c:v>
                </c:pt>
                <c:pt idx="12">
                  <c:v>15.407571623465211</c:v>
                </c:pt>
                <c:pt idx="13">
                  <c:v>26.340051457975989</c:v>
                </c:pt>
                <c:pt idx="14">
                  <c:v>33.252288329519452</c:v>
                </c:pt>
                <c:pt idx="15">
                  <c:v>56.273584905660378</c:v>
                </c:pt>
                <c:pt idx="16">
                  <c:v>29.188931297709924</c:v>
                </c:pt>
                <c:pt idx="17">
                  <c:v>12.812934631432546</c:v>
                </c:pt>
                <c:pt idx="18">
                  <c:v>19.569970845481048</c:v>
                </c:pt>
                <c:pt idx="19">
                  <c:v>36.473087818696889</c:v>
                </c:pt>
                <c:pt idx="20">
                  <c:v>19.426369863013697</c:v>
                </c:pt>
                <c:pt idx="21">
                  <c:v>19.175119331742245</c:v>
                </c:pt>
                <c:pt idx="22">
                  <c:v>18.742058449809402</c:v>
                </c:pt>
                <c:pt idx="23">
                  <c:v>17.481203007518797</c:v>
                </c:pt>
                <c:pt idx="24">
                  <c:v>17.854361370716511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81536"/>
        <c:axId val="104483456"/>
      </c:scatterChart>
      <c:valAx>
        <c:axId val="104481536"/>
        <c:scaling>
          <c:orientation val="minMax"/>
          <c:max val="1.0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consumption at 16 C / Energy consumption at 32 C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04483456"/>
        <c:crosses val="autoZero"/>
        <c:crossBetween val="midCat"/>
        <c:majorUnit val="0.1"/>
      </c:valAx>
      <c:valAx>
        <c:axId val="104483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with EN62552 Energy Consumption [%]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44815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</c:marker>
          <c:dLbls>
            <c:dLbl>
              <c:idx val="0"/>
              <c:layout/>
              <c:tx>
                <c:strRef>
                  <c:f>DB!$B$37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DB!$B$38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DB!$B$39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DB!$B$40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DB!$B$41</c:f>
                  <c:strCache>
                    <c:ptCount val="1"/>
                    <c:pt idx="0">
                      <c:v>5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DB!$B$42</c:f>
                  <c:strCache>
                    <c:ptCount val="1"/>
                    <c:pt idx="0">
                      <c:v>6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DB!$B$43</c:f>
                  <c:strCache>
                    <c:ptCount val="1"/>
                    <c:pt idx="0">
                      <c:v>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DB!$B$44</c:f>
                  <c:strCache>
                    <c:ptCount val="1"/>
                    <c:pt idx="0">
                      <c:v>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DB!$B$45</c:f>
                  <c:strCache>
                    <c:ptCount val="1"/>
                    <c:pt idx="0">
                      <c:v>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DB!$BZ$37:$BZ$45</c:f>
              <c:numCache>
                <c:formatCode>0.00</c:formatCode>
                <c:ptCount val="9"/>
                <c:pt idx="0">
                  <c:v>0.34206219312602293</c:v>
                </c:pt>
                <c:pt idx="1">
                  <c:v>0.45423728813559322</c:v>
                </c:pt>
                <c:pt idx="2">
                  <c:v>0.48219178082191783</c:v>
                </c:pt>
                <c:pt idx="3">
                  <c:v>0.34867256637168142</c:v>
                </c:pt>
                <c:pt idx="4">
                  <c:v>0.40025575447570333</c:v>
                </c:pt>
                <c:pt idx="5">
                  <c:v>0.40296662546353523</c:v>
                </c:pt>
                <c:pt idx="6">
                  <c:v>0.57816377171215882</c:v>
                </c:pt>
                <c:pt idx="7">
                  <c:v>0.46767050487156775</c:v>
                </c:pt>
                <c:pt idx="8">
                  <c:v>0.37055214723926383</c:v>
                </c:pt>
              </c:numCache>
            </c:numRef>
          </c:xVal>
          <c:yVal>
            <c:numRef>
              <c:f>DB!$BH$37:$BH$45</c:f>
              <c:numCache>
                <c:formatCode>0.0</c:formatCode>
                <c:ptCount val="9"/>
                <c:pt idx="0">
                  <c:v>3.1101895734597154</c:v>
                </c:pt>
                <c:pt idx="1">
                  <c:v>9.5426829268292686</c:v>
                </c:pt>
                <c:pt idx="2">
                  <c:v>-1.1164623467600701</c:v>
                </c:pt>
                <c:pt idx="3">
                  <c:v>12.849162011173185</c:v>
                </c:pt>
                <c:pt idx="4">
                  <c:v>3.9301801801801801</c:v>
                </c:pt>
                <c:pt idx="5">
                  <c:v>-2.4979608482871125</c:v>
                </c:pt>
                <c:pt idx="6">
                  <c:v>12.350427350427351</c:v>
                </c:pt>
                <c:pt idx="7">
                  <c:v>38.792067307692307</c:v>
                </c:pt>
                <c:pt idx="8">
                  <c:v>16.481755424063117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12128"/>
        <c:axId val="132723456"/>
      </c:scatterChart>
      <c:valAx>
        <c:axId val="104512128"/>
        <c:scaling>
          <c:orientation val="minMax"/>
          <c:max val="1.0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consumption at 16 C / Energy consumption at 32 C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32723456"/>
        <c:crosses val="autoZero"/>
        <c:crossBetween val="midCat"/>
        <c:majorUnit val="0.1"/>
      </c:valAx>
      <c:valAx>
        <c:axId val="132723456"/>
        <c:scaling>
          <c:orientation val="minMax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with EN62552 Energy Consumption [%]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45121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</xdr:colOff>
      <xdr:row>5</xdr:row>
      <xdr:rowOff>104775</xdr:rowOff>
    </xdr:from>
    <xdr:to>
      <xdr:col>36</xdr:col>
      <xdr:colOff>209550</xdr:colOff>
      <xdr:row>31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15</xdr:col>
      <xdr:colOff>0</xdr:colOff>
      <xdr:row>38</xdr:row>
      <xdr:rowOff>28574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14</xdr:col>
      <xdr:colOff>0</xdr:colOff>
      <xdr:row>71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0</xdr:colOff>
      <xdr:row>5</xdr:row>
      <xdr:rowOff>0</xdr:rowOff>
    </xdr:from>
    <xdr:to>
      <xdr:col>45</xdr:col>
      <xdr:colOff>171450</xdr:colOff>
      <xdr:row>31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0</xdr:colOff>
      <xdr:row>5</xdr:row>
      <xdr:rowOff>0</xdr:rowOff>
    </xdr:from>
    <xdr:to>
      <xdr:col>54</xdr:col>
      <xdr:colOff>0</xdr:colOff>
      <xdr:row>23</xdr:row>
      <xdr:rowOff>95250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53</xdr:col>
      <xdr:colOff>609599</xdr:colOff>
      <xdr:row>5</xdr:row>
      <xdr:rowOff>0</xdr:rowOff>
    </xdr:from>
    <xdr:to>
      <xdr:col>60</xdr:col>
      <xdr:colOff>0</xdr:colOff>
      <xdr:row>23</xdr:row>
      <xdr:rowOff>95250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60</xdr:col>
      <xdr:colOff>0</xdr:colOff>
      <xdr:row>5</xdr:row>
      <xdr:rowOff>0</xdr:rowOff>
    </xdr:from>
    <xdr:to>
      <xdr:col>66</xdr:col>
      <xdr:colOff>0</xdr:colOff>
      <xdr:row>23</xdr:row>
      <xdr:rowOff>95250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69</xdr:col>
      <xdr:colOff>0</xdr:colOff>
      <xdr:row>7</xdr:row>
      <xdr:rowOff>0</xdr:rowOff>
    </xdr:from>
    <xdr:to>
      <xdr:col>78</xdr:col>
      <xdr:colOff>0</xdr:colOff>
      <xdr:row>35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79</xdr:col>
      <xdr:colOff>0</xdr:colOff>
      <xdr:row>7</xdr:row>
      <xdr:rowOff>0</xdr:rowOff>
    </xdr:from>
    <xdr:to>
      <xdr:col>87</xdr:col>
      <xdr:colOff>581025</xdr:colOff>
      <xdr:row>26</xdr:row>
      <xdr:rowOff>114300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89</xdr:col>
      <xdr:colOff>0</xdr:colOff>
      <xdr:row>7</xdr:row>
      <xdr:rowOff>0</xdr:rowOff>
    </xdr:from>
    <xdr:to>
      <xdr:col>97</xdr:col>
      <xdr:colOff>581025</xdr:colOff>
      <xdr:row>26</xdr:row>
      <xdr:rowOff>114300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47625</xdr:colOff>
      <xdr:row>36</xdr:row>
      <xdr:rowOff>114300</xdr:rowOff>
    </xdr:from>
    <xdr:to>
      <xdr:col>91</xdr:col>
      <xdr:colOff>433388</xdr:colOff>
      <xdr:row>55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M41"/>
  <sheetViews>
    <sheetView tabSelected="1" workbookViewId="0">
      <selection activeCell="I4" sqref="I4"/>
    </sheetView>
  </sheetViews>
  <sheetFormatPr defaultColWidth="9.109375" defaultRowHeight="14.4" x14ac:dyDescent="0.3"/>
  <cols>
    <col min="14" max="15" width="9.109375" style="57"/>
    <col min="21" max="21" width="11.6640625" customWidth="1"/>
  </cols>
  <sheetData>
    <row r="1" spans="1:91" ht="18.75" x14ac:dyDescent="0.3">
      <c r="A1" s="6" t="s">
        <v>126</v>
      </c>
      <c r="O1" t="s">
        <v>127</v>
      </c>
      <c r="U1" t="s">
        <v>110</v>
      </c>
      <c r="V1">
        <v>25</v>
      </c>
      <c r="Y1" s="57">
        <v>24</v>
      </c>
      <c r="AB1" s="6" t="s">
        <v>129</v>
      </c>
      <c r="AV1" s="6" t="s">
        <v>130</v>
      </c>
    </row>
    <row r="2" spans="1:91" ht="15" x14ac:dyDescent="0.25">
      <c r="U2" t="s">
        <v>103</v>
      </c>
      <c r="V2">
        <f>(32-V1)/(32-16)</f>
        <v>0.4375</v>
      </c>
      <c r="Y2" s="57">
        <f>(32-Y1)/(32-16)</f>
        <v>0.5</v>
      </c>
    </row>
    <row r="3" spans="1:91" x14ac:dyDescent="0.3">
      <c r="E3" s="9" t="s">
        <v>55</v>
      </c>
      <c r="F3" s="10" t="s">
        <v>57</v>
      </c>
      <c r="G3" s="8">
        <v>0.4375</v>
      </c>
      <c r="H3" t="str">
        <f>"F="&amp;f_Cons</f>
        <v>F=0.4375</v>
      </c>
      <c r="J3" t="s">
        <v>131</v>
      </c>
      <c r="U3" t="s">
        <v>107</v>
      </c>
    </row>
    <row r="4" spans="1:91" ht="72" x14ac:dyDescent="0.3">
      <c r="E4" s="9" t="s">
        <v>56</v>
      </c>
      <c r="F4" s="10" t="s">
        <v>3</v>
      </c>
      <c r="G4">
        <f>f_Cons*16+(1-f_Cons)*32</f>
        <v>25</v>
      </c>
      <c r="R4" t="s">
        <v>85</v>
      </c>
      <c r="S4" s="16" t="s">
        <v>86</v>
      </c>
      <c r="T4" s="16" t="s">
        <v>87</v>
      </c>
      <c r="U4" s="16" t="s">
        <v>104</v>
      </c>
      <c r="V4" s="16" t="s">
        <v>109</v>
      </c>
      <c r="W4" s="16" t="s">
        <v>108</v>
      </c>
      <c r="X4" s="16" t="s">
        <v>118</v>
      </c>
      <c r="Z4" s="16" t="s">
        <v>117</v>
      </c>
    </row>
    <row r="5" spans="1:91" x14ac:dyDescent="0.3">
      <c r="E5" s="9" t="s">
        <v>58</v>
      </c>
      <c r="F5" s="10"/>
      <c r="G5" s="7">
        <f>(f_Cons)*365</f>
        <v>159.6875</v>
      </c>
      <c r="R5">
        <v>-18</v>
      </c>
      <c r="S5">
        <f>(25-R5)/20</f>
        <v>2.15</v>
      </c>
      <c r="T5" s="15">
        <f>(25-R5)/21</f>
        <v>2.0476190476190474</v>
      </c>
      <c r="U5" s="15">
        <f t="shared" ref="U5:U40" si="0">(416-20*R5)/336</f>
        <v>2.3095238095238093</v>
      </c>
      <c r="V5" s="15">
        <f>$V$2*(32-R5)/(32-4)+(1-$V$2)*(16-R5)/(16-4)</f>
        <v>2.375</v>
      </c>
      <c r="W5" s="17">
        <f>(32*(1-$V$2)+16*$V$2)</f>
        <v>25</v>
      </c>
      <c r="X5" s="17">
        <f>(W5-R5)/(W5-4)</f>
        <v>2.0476190476190474</v>
      </c>
      <c r="Y5" s="57">
        <f>(32*(1-$Y$2)+16*$Y$2)</f>
        <v>24</v>
      </c>
      <c r="Z5" s="57">
        <f>(Y5-R5)/(Y5-4)</f>
        <v>2.1</v>
      </c>
    </row>
    <row r="6" spans="1:91" x14ac:dyDescent="0.3">
      <c r="E6" s="9" t="s">
        <v>59</v>
      </c>
      <c r="F6" s="10"/>
      <c r="G6" s="7">
        <f>(1-f_Cons)*365</f>
        <v>205.3125</v>
      </c>
      <c r="R6">
        <v>-17</v>
      </c>
      <c r="S6">
        <f t="shared" ref="S6:S40" si="1">(25-R6)/20</f>
        <v>2.1</v>
      </c>
      <c r="T6" s="15">
        <f t="shared" ref="T6:T40" si="2">(25-R6)/21</f>
        <v>2</v>
      </c>
      <c r="U6" s="15">
        <f t="shared" si="0"/>
        <v>2.25</v>
      </c>
      <c r="V6" s="15">
        <f t="shared" ref="V6:V24" si="3">$V$2*(32-R6)/(32-4)+(1-$V$2)*(16-R6)/(16-4)</f>
        <v>2.3125</v>
      </c>
      <c r="W6" s="17">
        <f t="shared" ref="W6:W40" si="4">(32*(1-$V$2)+16*$V$2)</f>
        <v>25</v>
      </c>
      <c r="X6" s="17">
        <f t="shared" ref="X6:X30" si="5">(W6-R6)/(W6-4)</f>
        <v>2</v>
      </c>
      <c r="Y6" s="57">
        <f t="shared" ref="Y6:Y40" si="6">(32*(1-$Y$2)+16*$Y$2)</f>
        <v>24</v>
      </c>
      <c r="Z6" s="57">
        <f t="shared" ref="Z6:Z40" si="7">(Y6-R6)/(Y6-4)</f>
        <v>2.0499999999999998</v>
      </c>
      <c r="BU6" t="s">
        <v>121</v>
      </c>
      <c r="CF6" t="s">
        <v>122</v>
      </c>
      <c r="CM6" s="57" t="s">
        <v>124</v>
      </c>
    </row>
    <row r="7" spans="1:91" ht="15" x14ac:dyDescent="0.25">
      <c r="R7">
        <v>-16</v>
      </c>
      <c r="S7">
        <f t="shared" si="1"/>
        <v>2.0499999999999998</v>
      </c>
      <c r="T7" s="15">
        <f t="shared" si="2"/>
        <v>1.9523809523809523</v>
      </c>
      <c r="U7" s="15">
        <f t="shared" si="0"/>
        <v>2.1904761904761907</v>
      </c>
      <c r="V7" s="15">
        <f t="shared" si="3"/>
        <v>2.25</v>
      </c>
      <c r="W7" s="17">
        <f t="shared" si="4"/>
        <v>25</v>
      </c>
      <c r="X7" s="17">
        <f t="shared" si="5"/>
        <v>1.9523809523809523</v>
      </c>
      <c r="Y7" s="57">
        <f t="shared" si="6"/>
        <v>24</v>
      </c>
      <c r="Z7" s="57">
        <f t="shared" si="7"/>
        <v>2</v>
      </c>
    </row>
    <row r="8" spans="1:91" ht="15" x14ac:dyDescent="0.25">
      <c r="R8">
        <v>-15</v>
      </c>
      <c r="S8">
        <f t="shared" si="1"/>
        <v>2</v>
      </c>
      <c r="T8" s="15">
        <f t="shared" si="2"/>
        <v>1.9047619047619047</v>
      </c>
      <c r="U8" s="15">
        <f t="shared" si="0"/>
        <v>2.1309523809523809</v>
      </c>
      <c r="V8" s="15">
        <f t="shared" si="3"/>
        <v>2.1875</v>
      </c>
      <c r="W8" s="17">
        <f t="shared" si="4"/>
        <v>25</v>
      </c>
      <c r="X8" s="17">
        <f t="shared" si="5"/>
        <v>1.9047619047619047</v>
      </c>
      <c r="Y8" s="57">
        <f t="shared" si="6"/>
        <v>24</v>
      </c>
      <c r="Z8" s="57">
        <f t="shared" si="7"/>
        <v>1.95</v>
      </c>
    </row>
    <row r="9" spans="1:91" ht="15" x14ac:dyDescent="0.25">
      <c r="R9">
        <v>-14</v>
      </c>
      <c r="S9">
        <f t="shared" si="1"/>
        <v>1.95</v>
      </c>
      <c r="T9" s="15">
        <f t="shared" si="2"/>
        <v>1.8571428571428572</v>
      </c>
      <c r="U9" s="15">
        <f t="shared" si="0"/>
        <v>2.0714285714285716</v>
      </c>
      <c r="V9" s="15">
        <f t="shared" si="3"/>
        <v>2.125</v>
      </c>
      <c r="W9" s="17">
        <f t="shared" si="4"/>
        <v>25</v>
      </c>
      <c r="X9" s="17">
        <f t="shared" si="5"/>
        <v>1.8571428571428572</v>
      </c>
      <c r="Y9" s="57">
        <f t="shared" si="6"/>
        <v>24</v>
      </c>
      <c r="Z9" s="57">
        <f t="shared" si="7"/>
        <v>1.9</v>
      </c>
    </row>
    <row r="10" spans="1:91" ht="15" x14ac:dyDescent="0.25">
      <c r="R10">
        <v>-13</v>
      </c>
      <c r="S10">
        <f t="shared" si="1"/>
        <v>1.9</v>
      </c>
      <c r="T10" s="15">
        <f t="shared" si="2"/>
        <v>1.8095238095238095</v>
      </c>
      <c r="U10" s="15">
        <f t="shared" si="0"/>
        <v>2.0119047619047619</v>
      </c>
      <c r="V10" s="15">
        <f t="shared" si="3"/>
        <v>2.0625</v>
      </c>
      <c r="W10" s="17">
        <f t="shared" si="4"/>
        <v>25</v>
      </c>
      <c r="X10" s="17">
        <f t="shared" si="5"/>
        <v>1.8095238095238095</v>
      </c>
      <c r="Y10" s="57">
        <f t="shared" si="6"/>
        <v>24</v>
      </c>
      <c r="Z10" s="57">
        <f t="shared" si="7"/>
        <v>1.85</v>
      </c>
    </row>
    <row r="11" spans="1:91" ht="15" x14ac:dyDescent="0.25">
      <c r="R11">
        <v>-12</v>
      </c>
      <c r="S11">
        <f t="shared" si="1"/>
        <v>1.85</v>
      </c>
      <c r="T11" s="15">
        <f t="shared" si="2"/>
        <v>1.7619047619047619</v>
      </c>
      <c r="U11" s="15">
        <f t="shared" si="0"/>
        <v>1.9523809523809523</v>
      </c>
      <c r="V11" s="15">
        <f t="shared" si="3"/>
        <v>2</v>
      </c>
      <c r="W11" s="17">
        <f t="shared" si="4"/>
        <v>25</v>
      </c>
      <c r="X11" s="17">
        <f t="shared" si="5"/>
        <v>1.7619047619047619</v>
      </c>
      <c r="Y11" s="57">
        <f t="shared" si="6"/>
        <v>24</v>
      </c>
      <c r="Z11" s="57">
        <f t="shared" si="7"/>
        <v>1.8</v>
      </c>
    </row>
    <row r="12" spans="1:91" ht="15" x14ac:dyDescent="0.25">
      <c r="R12">
        <v>-11</v>
      </c>
      <c r="S12">
        <f t="shared" si="1"/>
        <v>1.8</v>
      </c>
      <c r="T12" s="15">
        <f t="shared" si="2"/>
        <v>1.7142857142857142</v>
      </c>
      <c r="U12" s="15">
        <f t="shared" si="0"/>
        <v>1.8928571428571428</v>
      </c>
      <c r="V12" s="15">
        <f t="shared" si="3"/>
        <v>1.9375</v>
      </c>
      <c r="W12" s="17">
        <f t="shared" si="4"/>
        <v>25</v>
      </c>
      <c r="X12" s="17">
        <f t="shared" si="5"/>
        <v>1.7142857142857142</v>
      </c>
      <c r="Y12" s="57">
        <f t="shared" si="6"/>
        <v>24</v>
      </c>
      <c r="Z12" s="57">
        <f t="shared" si="7"/>
        <v>1.75</v>
      </c>
    </row>
    <row r="13" spans="1:91" ht="15" x14ac:dyDescent="0.25">
      <c r="R13">
        <v>-10</v>
      </c>
      <c r="S13">
        <f t="shared" si="1"/>
        <v>1.75</v>
      </c>
      <c r="T13" s="15">
        <f t="shared" si="2"/>
        <v>1.6666666666666667</v>
      </c>
      <c r="U13" s="15">
        <f t="shared" si="0"/>
        <v>1.8333333333333333</v>
      </c>
      <c r="V13" s="15">
        <f t="shared" si="3"/>
        <v>1.875</v>
      </c>
      <c r="W13" s="17">
        <f t="shared" si="4"/>
        <v>25</v>
      </c>
      <c r="X13" s="17">
        <f t="shared" si="5"/>
        <v>1.6666666666666667</v>
      </c>
      <c r="Y13" s="57">
        <f t="shared" si="6"/>
        <v>24</v>
      </c>
      <c r="Z13" s="57">
        <f t="shared" si="7"/>
        <v>1.7</v>
      </c>
    </row>
    <row r="14" spans="1:91" ht="15" x14ac:dyDescent="0.25">
      <c r="R14">
        <v>-9</v>
      </c>
      <c r="S14">
        <f t="shared" si="1"/>
        <v>1.7</v>
      </c>
      <c r="T14" s="15">
        <f t="shared" si="2"/>
        <v>1.6190476190476191</v>
      </c>
      <c r="U14" s="15">
        <f t="shared" si="0"/>
        <v>1.7738095238095237</v>
      </c>
      <c r="V14" s="15">
        <f t="shared" si="3"/>
        <v>1.8125</v>
      </c>
      <c r="W14" s="17">
        <f t="shared" si="4"/>
        <v>25</v>
      </c>
      <c r="X14" s="17">
        <f t="shared" si="5"/>
        <v>1.6190476190476191</v>
      </c>
      <c r="Y14" s="57">
        <f t="shared" si="6"/>
        <v>24</v>
      </c>
      <c r="Z14" s="57">
        <f t="shared" si="7"/>
        <v>1.65</v>
      </c>
    </row>
    <row r="15" spans="1:91" ht="15" x14ac:dyDescent="0.25">
      <c r="R15">
        <v>-8</v>
      </c>
      <c r="S15">
        <f t="shared" si="1"/>
        <v>1.65</v>
      </c>
      <c r="T15" s="15">
        <f t="shared" si="2"/>
        <v>1.5714285714285714</v>
      </c>
      <c r="U15" s="15">
        <f t="shared" si="0"/>
        <v>1.7142857142857142</v>
      </c>
      <c r="V15" s="15">
        <f t="shared" si="3"/>
        <v>1.75</v>
      </c>
      <c r="W15" s="17">
        <f t="shared" si="4"/>
        <v>25</v>
      </c>
      <c r="X15" s="17">
        <f t="shared" si="5"/>
        <v>1.5714285714285714</v>
      </c>
      <c r="Y15" s="57">
        <f t="shared" si="6"/>
        <v>24</v>
      </c>
      <c r="Z15" s="57">
        <f t="shared" si="7"/>
        <v>1.6</v>
      </c>
    </row>
    <row r="16" spans="1:91" ht="15" x14ac:dyDescent="0.25">
      <c r="R16">
        <v>-7</v>
      </c>
      <c r="S16">
        <f t="shared" si="1"/>
        <v>1.6</v>
      </c>
      <c r="T16" s="15">
        <f t="shared" si="2"/>
        <v>1.5238095238095237</v>
      </c>
      <c r="U16" s="15">
        <f t="shared" si="0"/>
        <v>1.6547619047619047</v>
      </c>
      <c r="V16" s="15">
        <f t="shared" si="3"/>
        <v>1.6875</v>
      </c>
      <c r="W16" s="17">
        <f t="shared" si="4"/>
        <v>25</v>
      </c>
      <c r="X16" s="17">
        <f t="shared" si="5"/>
        <v>1.5238095238095237</v>
      </c>
      <c r="Y16" s="57">
        <f t="shared" si="6"/>
        <v>24</v>
      </c>
      <c r="Z16" s="57">
        <f t="shared" si="7"/>
        <v>1.55</v>
      </c>
    </row>
    <row r="17" spans="18:26" ht="15" x14ac:dyDescent="0.25">
      <c r="R17">
        <v>-6</v>
      </c>
      <c r="S17">
        <f t="shared" si="1"/>
        <v>1.55</v>
      </c>
      <c r="T17" s="15">
        <f t="shared" si="2"/>
        <v>1.4761904761904763</v>
      </c>
      <c r="U17" s="15">
        <f t="shared" si="0"/>
        <v>1.5952380952380953</v>
      </c>
      <c r="V17" s="15">
        <f t="shared" si="3"/>
        <v>1.625</v>
      </c>
      <c r="W17" s="17">
        <f t="shared" si="4"/>
        <v>25</v>
      </c>
      <c r="X17" s="17">
        <f t="shared" si="5"/>
        <v>1.4761904761904763</v>
      </c>
      <c r="Y17" s="57">
        <f t="shared" si="6"/>
        <v>24</v>
      </c>
      <c r="Z17" s="57">
        <f t="shared" si="7"/>
        <v>1.5</v>
      </c>
    </row>
    <row r="18" spans="18:26" ht="15" x14ac:dyDescent="0.25">
      <c r="R18">
        <v>-5</v>
      </c>
      <c r="S18">
        <f t="shared" si="1"/>
        <v>1.5</v>
      </c>
      <c r="T18" s="15">
        <f t="shared" si="2"/>
        <v>1.4285714285714286</v>
      </c>
      <c r="U18" s="15">
        <f t="shared" si="0"/>
        <v>1.5357142857142858</v>
      </c>
      <c r="V18" s="15">
        <f t="shared" si="3"/>
        <v>1.5625</v>
      </c>
      <c r="W18" s="17">
        <f t="shared" si="4"/>
        <v>25</v>
      </c>
      <c r="X18" s="17">
        <f t="shared" si="5"/>
        <v>1.4285714285714286</v>
      </c>
      <c r="Y18" s="57">
        <f t="shared" si="6"/>
        <v>24</v>
      </c>
      <c r="Z18" s="57">
        <f t="shared" si="7"/>
        <v>1.45</v>
      </c>
    </row>
    <row r="19" spans="18:26" ht="15" x14ac:dyDescent="0.25">
      <c r="R19">
        <v>-4</v>
      </c>
      <c r="S19">
        <f t="shared" si="1"/>
        <v>1.45</v>
      </c>
      <c r="T19" s="15">
        <f t="shared" si="2"/>
        <v>1.3809523809523809</v>
      </c>
      <c r="U19" s="15">
        <f t="shared" si="0"/>
        <v>1.4761904761904763</v>
      </c>
      <c r="V19" s="15">
        <f t="shared" si="3"/>
        <v>1.5</v>
      </c>
      <c r="W19" s="17">
        <f t="shared" si="4"/>
        <v>25</v>
      </c>
      <c r="X19" s="17">
        <f t="shared" si="5"/>
        <v>1.3809523809523809</v>
      </c>
      <c r="Y19" s="57">
        <f t="shared" si="6"/>
        <v>24</v>
      </c>
      <c r="Z19" s="57">
        <f t="shared" si="7"/>
        <v>1.4</v>
      </c>
    </row>
    <row r="20" spans="18:26" ht="15" x14ac:dyDescent="0.25">
      <c r="R20">
        <v>-3</v>
      </c>
      <c r="S20">
        <f t="shared" si="1"/>
        <v>1.4</v>
      </c>
      <c r="T20" s="15">
        <f t="shared" si="2"/>
        <v>1.3333333333333333</v>
      </c>
      <c r="U20" s="15">
        <f t="shared" si="0"/>
        <v>1.4166666666666667</v>
      </c>
      <c r="V20" s="15">
        <f t="shared" si="3"/>
        <v>1.4375</v>
      </c>
      <c r="W20" s="17">
        <f t="shared" si="4"/>
        <v>25</v>
      </c>
      <c r="X20" s="17">
        <f t="shared" si="5"/>
        <v>1.3333333333333333</v>
      </c>
      <c r="Y20" s="57">
        <f t="shared" si="6"/>
        <v>24</v>
      </c>
      <c r="Z20" s="57">
        <f t="shared" si="7"/>
        <v>1.35</v>
      </c>
    </row>
    <row r="21" spans="18:26" x14ac:dyDescent="0.3">
      <c r="R21">
        <v>-2</v>
      </c>
      <c r="S21">
        <f t="shared" si="1"/>
        <v>1.35</v>
      </c>
      <c r="T21" s="15">
        <f t="shared" si="2"/>
        <v>1.2857142857142858</v>
      </c>
      <c r="U21" s="15">
        <f t="shared" si="0"/>
        <v>1.3571428571428572</v>
      </c>
      <c r="V21" s="15">
        <f t="shared" si="3"/>
        <v>1.375</v>
      </c>
      <c r="W21" s="17">
        <f t="shared" si="4"/>
        <v>25</v>
      </c>
      <c r="X21" s="17">
        <f t="shared" si="5"/>
        <v>1.2857142857142858</v>
      </c>
      <c r="Y21" s="57">
        <f t="shared" si="6"/>
        <v>24</v>
      </c>
      <c r="Z21" s="57">
        <f t="shared" si="7"/>
        <v>1.3</v>
      </c>
    </row>
    <row r="22" spans="18:26" x14ac:dyDescent="0.3">
      <c r="R22">
        <v>-1</v>
      </c>
      <c r="S22">
        <f t="shared" si="1"/>
        <v>1.3</v>
      </c>
      <c r="T22" s="15">
        <f t="shared" si="2"/>
        <v>1.2380952380952381</v>
      </c>
      <c r="U22" s="15">
        <f t="shared" si="0"/>
        <v>1.2976190476190477</v>
      </c>
      <c r="V22" s="15">
        <f t="shared" si="3"/>
        <v>1.3125</v>
      </c>
      <c r="W22" s="17">
        <f t="shared" si="4"/>
        <v>25</v>
      </c>
      <c r="X22" s="17">
        <f t="shared" si="5"/>
        <v>1.2380952380952381</v>
      </c>
      <c r="Y22" s="57">
        <f t="shared" si="6"/>
        <v>24</v>
      </c>
      <c r="Z22" s="57">
        <f t="shared" si="7"/>
        <v>1.25</v>
      </c>
    </row>
    <row r="23" spans="18:26" x14ac:dyDescent="0.3">
      <c r="R23">
        <v>0</v>
      </c>
      <c r="S23">
        <f t="shared" si="1"/>
        <v>1.25</v>
      </c>
      <c r="T23" s="15">
        <f t="shared" si="2"/>
        <v>1.1904761904761905</v>
      </c>
      <c r="U23" s="15">
        <f t="shared" si="0"/>
        <v>1.2380952380952381</v>
      </c>
      <c r="V23" s="15">
        <f t="shared" si="3"/>
        <v>1.25</v>
      </c>
      <c r="W23" s="17">
        <f t="shared" si="4"/>
        <v>25</v>
      </c>
      <c r="X23" s="17">
        <f t="shared" si="5"/>
        <v>1.1904761904761905</v>
      </c>
      <c r="Y23" s="57">
        <f t="shared" si="6"/>
        <v>24</v>
      </c>
      <c r="Z23" s="57">
        <f t="shared" si="7"/>
        <v>1.2</v>
      </c>
    </row>
    <row r="24" spans="18:26" x14ac:dyDescent="0.3">
      <c r="R24">
        <v>1</v>
      </c>
      <c r="S24">
        <f t="shared" si="1"/>
        <v>1.2</v>
      </c>
      <c r="T24" s="15">
        <f t="shared" si="2"/>
        <v>1.1428571428571428</v>
      </c>
      <c r="U24" s="15">
        <f t="shared" si="0"/>
        <v>1.1785714285714286</v>
      </c>
      <c r="V24" s="15">
        <f t="shared" si="3"/>
        <v>1.1875</v>
      </c>
      <c r="W24" s="17">
        <f t="shared" si="4"/>
        <v>25</v>
      </c>
      <c r="X24" s="17">
        <f t="shared" si="5"/>
        <v>1.1428571428571428</v>
      </c>
      <c r="Y24" s="57">
        <f t="shared" si="6"/>
        <v>24</v>
      </c>
      <c r="Z24" s="57">
        <f t="shared" si="7"/>
        <v>1.1499999999999999</v>
      </c>
    </row>
    <row r="25" spans="18:26" x14ac:dyDescent="0.3">
      <c r="R25">
        <v>2</v>
      </c>
      <c r="S25">
        <f t="shared" si="1"/>
        <v>1.1499999999999999</v>
      </c>
      <c r="T25" s="15">
        <f t="shared" si="2"/>
        <v>1.0952380952380953</v>
      </c>
      <c r="U25" s="15">
        <f t="shared" si="0"/>
        <v>1.1190476190476191</v>
      </c>
      <c r="V25" s="15">
        <f t="shared" ref="V25:V40" si="8">0.5*(32-R25)/(32-4)+(1-0.5)*(16-R25)/(16-4)</f>
        <v>1.1190476190476191</v>
      </c>
      <c r="W25" s="17">
        <f t="shared" si="4"/>
        <v>25</v>
      </c>
      <c r="X25" s="17">
        <f t="shared" si="5"/>
        <v>1.0952380952380953</v>
      </c>
      <c r="Y25" s="57">
        <f t="shared" si="6"/>
        <v>24</v>
      </c>
      <c r="Z25" s="57">
        <f t="shared" si="7"/>
        <v>1.1000000000000001</v>
      </c>
    </row>
    <row r="26" spans="18:26" x14ac:dyDescent="0.3">
      <c r="R26">
        <v>3</v>
      </c>
      <c r="S26">
        <f t="shared" si="1"/>
        <v>1.1000000000000001</v>
      </c>
      <c r="T26" s="15">
        <f t="shared" si="2"/>
        <v>1.0476190476190477</v>
      </c>
      <c r="U26" s="15">
        <f t="shared" si="0"/>
        <v>1.0595238095238095</v>
      </c>
      <c r="V26" s="15">
        <f t="shared" si="8"/>
        <v>1.0595238095238095</v>
      </c>
      <c r="W26" s="17">
        <f t="shared" si="4"/>
        <v>25</v>
      </c>
      <c r="X26" s="17">
        <f t="shared" si="5"/>
        <v>1.0476190476190477</v>
      </c>
      <c r="Y26" s="57">
        <f t="shared" si="6"/>
        <v>24</v>
      </c>
      <c r="Z26" s="57">
        <f t="shared" si="7"/>
        <v>1.05</v>
      </c>
    </row>
    <row r="27" spans="18:26" x14ac:dyDescent="0.3">
      <c r="R27">
        <v>4</v>
      </c>
      <c r="S27">
        <f t="shared" si="1"/>
        <v>1.05</v>
      </c>
      <c r="T27" s="15">
        <f t="shared" si="2"/>
        <v>1</v>
      </c>
      <c r="U27" s="15">
        <f t="shared" si="0"/>
        <v>1</v>
      </c>
      <c r="V27" s="15">
        <f t="shared" si="8"/>
        <v>1</v>
      </c>
      <c r="W27" s="17">
        <f t="shared" si="4"/>
        <v>25</v>
      </c>
      <c r="X27" s="17">
        <f t="shared" si="5"/>
        <v>1</v>
      </c>
      <c r="Y27" s="57">
        <f t="shared" si="6"/>
        <v>24</v>
      </c>
      <c r="Z27" s="57">
        <f t="shared" si="7"/>
        <v>1</v>
      </c>
    </row>
    <row r="28" spans="18:26" x14ac:dyDescent="0.3">
      <c r="R28">
        <v>5</v>
      </c>
      <c r="S28">
        <f t="shared" si="1"/>
        <v>1</v>
      </c>
      <c r="T28" s="15">
        <f t="shared" si="2"/>
        <v>0.95238095238095233</v>
      </c>
      <c r="U28" s="15">
        <f t="shared" si="0"/>
        <v>0.94047619047619047</v>
      </c>
      <c r="V28" s="15">
        <f t="shared" si="8"/>
        <v>0.94047619047619047</v>
      </c>
      <c r="W28" s="17">
        <f t="shared" si="4"/>
        <v>25</v>
      </c>
      <c r="X28" s="17">
        <f t="shared" si="5"/>
        <v>0.95238095238095233</v>
      </c>
      <c r="Y28" s="57">
        <f t="shared" si="6"/>
        <v>24</v>
      </c>
      <c r="Z28" s="57">
        <f t="shared" si="7"/>
        <v>0.95</v>
      </c>
    </row>
    <row r="29" spans="18:26" x14ac:dyDescent="0.3">
      <c r="R29">
        <v>6</v>
      </c>
      <c r="S29">
        <f t="shared" si="1"/>
        <v>0.95</v>
      </c>
      <c r="T29" s="15">
        <f t="shared" si="2"/>
        <v>0.90476190476190477</v>
      </c>
      <c r="U29" s="15">
        <f t="shared" si="0"/>
        <v>0.88095238095238093</v>
      </c>
      <c r="V29" s="15">
        <f t="shared" si="8"/>
        <v>0.88095238095238093</v>
      </c>
      <c r="W29" s="17">
        <f t="shared" si="4"/>
        <v>25</v>
      </c>
      <c r="X29" s="17">
        <f t="shared" si="5"/>
        <v>0.90476190476190477</v>
      </c>
      <c r="Y29" s="57">
        <f t="shared" si="6"/>
        <v>24</v>
      </c>
      <c r="Z29" s="57">
        <f t="shared" si="7"/>
        <v>0.9</v>
      </c>
    </row>
    <row r="30" spans="18:26" x14ac:dyDescent="0.3">
      <c r="R30">
        <v>7</v>
      </c>
      <c r="S30">
        <f t="shared" si="1"/>
        <v>0.9</v>
      </c>
      <c r="T30" s="15">
        <f t="shared" si="2"/>
        <v>0.8571428571428571</v>
      </c>
      <c r="U30" s="15">
        <f t="shared" si="0"/>
        <v>0.8214285714285714</v>
      </c>
      <c r="V30" s="15">
        <f t="shared" si="8"/>
        <v>0.8214285714285714</v>
      </c>
      <c r="W30" s="17">
        <f t="shared" si="4"/>
        <v>25</v>
      </c>
      <c r="X30" s="17">
        <f t="shared" si="5"/>
        <v>0.8571428571428571</v>
      </c>
      <c r="Y30" s="57">
        <f t="shared" si="6"/>
        <v>24</v>
      </c>
      <c r="Z30" s="57">
        <f t="shared" si="7"/>
        <v>0.85</v>
      </c>
    </row>
    <row r="31" spans="18:26" x14ac:dyDescent="0.3">
      <c r="R31">
        <v>8</v>
      </c>
      <c r="S31">
        <f t="shared" si="1"/>
        <v>0.85</v>
      </c>
      <c r="T31" s="15">
        <f t="shared" si="2"/>
        <v>0.80952380952380953</v>
      </c>
      <c r="U31" s="15">
        <f t="shared" si="0"/>
        <v>0.76190476190476186</v>
      </c>
      <c r="V31" s="15">
        <f t="shared" si="8"/>
        <v>0.76190476190476186</v>
      </c>
      <c r="W31" s="17">
        <f t="shared" si="4"/>
        <v>25</v>
      </c>
      <c r="X31" s="17">
        <f t="shared" ref="X31:X40" si="9">(W31-R31)/(W31-4)</f>
        <v>0.80952380952380953</v>
      </c>
      <c r="Y31" s="57">
        <f t="shared" si="6"/>
        <v>24</v>
      </c>
      <c r="Z31" s="57">
        <f t="shared" si="7"/>
        <v>0.8</v>
      </c>
    </row>
    <row r="32" spans="18:26" x14ac:dyDescent="0.3">
      <c r="R32">
        <v>9</v>
      </c>
      <c r="S32">
        <f t="shared" si="1"/>
        <v>0.8</v>
      </c>
      <c r="T32" s="15">
        <f t="shared" si="2"/>
        <v>0.76190476190476186</v>
      </c>
      <c r="U32" s="15">
        <f t="shared" si="0"/>
        <v>0.70238095238095233</v>
      </c>
      <c r="V32" s="15">
        <f t="shared" si="8"/>
        <v>0.70238095238095233</v>
      </c>
      <c r="W32" s="17">
        <f t="shared" si="4"/>
        <v>25</v>
      </c>
      <c r="X32" s="17">
        <f t="shared" si="9"/>
        <v>0.76190476190476186</v>
      </c>
      <c r="Y32" s="57">
        <f t="shared" si="6"/>
        <v>24</v>
      </c>
      <c r="Z32" s="57">
        <f t="shared" si="7"/>
        <v>0.75</v>
      </c>
    </row>
    <row r="33" spans="18:26" x14ac:dyDescent="0.3">
      <c r="R33">
        <v>10</v>
      </c>
      <c r="S33">
        <f t="shared" si="1"/>
        <v>0.75</v>
      </c>
      <c r="T33" s="15">
        <f t="shared" si="2"/>
        <v>0.7142857142857143</v>
      </c>
      <c r="U33" s="15">
        <f t="shared" si="0"/>
        <v>0.6428571428571429</v>
      </c>
      <c r="V33" s="15">
        <f t="shared" si="8"/>
        <v>0.64285714285714279</v>
      </c>
      <c r="W33" s="17">
        <f t="shared" si="4"/>
        <v>25</v>
      </c>
      <c r="X33" s="17">
        <f t="shared" si="9"/>
        <v>0.7142857142857143</v>
      </c>
      <c r="Y33" s="57">
        <f t="shared" si="6"/>
        <v>24</v>
      </c>
      <c r="Z33" s="57">
        <f t="shared" si="7"/>
        <v>0.7</v>
      </c>
    </row>
    <row r="34" spans="18:26" x14ac:dyDescent="0.3">
      <c r="R34">
        <v>11</v>
      </c>
      <c r="S34">
        <f t="shared" si="1"/>
        <v>0.7</v>
      </c>
      <c r="T34" s="15">
        <f t="shared" si="2"/>
        <v>0.66666666666666663</v>
      </c>
      <c r="U34" s="15">
        <f t="shared" si="0"/>
        <v>0.58333333333333337</v>
      </c>
      <c r="V34" s="15">
        <f t="shared" si="8"/>
        <v>0.58333333333333337</v>
      </c>
      <c r="W34" s="17">
        <f t="shared" si="4"/>
        <v>25</v>
      </c>
      <c r="X34" s="17">
        <f t="shared" si="9"/>
        <v>0.66666666666666663</v>
      </c>
      <c r="Y34" s="57">
        <f t="shared" si="6"/>
        <v>24</v>
      </c>
      <c r="Z34" s="57">
        <f t="shared" si="7"/>
        <v>0.65</v>
      </c>
    </row>
    <row r="35" spans="18:26" x14ac:dyDescent="0.3">
      <c r="R35">
        <v>12</v>
      </c>
      <c r="S35">
        <f t="shared" si="1"/>
        <v>0.65</v>
      </c>
      <c r="T35" s="15">
        <f t="shared" si="2"/>
        <v>0.61904761904761907</v>
      </c>
      <c r="U35" s="15">
        <f t="shared" si="0"/>
        <v>0.52380952380952384</v>
      </c>
      <c r="V35" s="15">
        <f t="shared" si="8"/>
        <v>0.52380952380952384</v>
      </c>
      <c r="W35" s="17">
        <f t="shared" si="4"/>
        <v>25</v>
      </c>
      <c r="X35" s="17">
        <f t="shared" si="9"/>
        <v>0.61904761904761907</v>
      </c>
      <c r="Y35" s="57">
        <f t="shared" si="6"/>
        <v>24</v>
      </c>
      <c r="Z35" s="57">
        <f t="shared" si="7"/>
        <v>0.6</v>
      </c>
    </row>
    <row r="36" spans="18:26" x14ac:dyDescent="0.3">
      <c r="R36">
        <v>13</v>
      </c>
      <c r="S36">
        <f t="shared" si="1"/>
        <v>0.6</v>
      </c>
      <c r="T36" s="15">
        <f t="shared" si="2"/>
        <v>0.5714285714285714</v>
      </c>
      <c r="U36" s="15">
        <f t="shared" si="0"/>
        <v>0.4642857142857143</v>
      </c>
      <c r="V36" s="15">
        <f t="shared" si="8"/>
        <v>0.4642857142857143</v>
      </c>
      <c r="W36" s="17">
        <f t="shared" si="4"/>
        <v>25</v>
      </c>
      <c r="X36" s="17">
        <f t="shared" si="9"/>
        <v>0.5714285714285714</v>
      </c>
      <c r="Y36" s="57">
        <f t="shared" si="6"/>
        <v>24</v>
      </c>
      <c r="Z36" s="57">
        <f t="shared" si="7"/>
        <v>0.55000000000000004</v>
      </c>
    </row>
    <row r="37" spans="18:26" x14ac:dyDescent="0.3">
      <c r="R37">
        <v>14</v>
      </c>
      <c r="S37">
        <f t="shared" si="1"/>
        <v>0.55000000000000004</v>
      </c>
      <c r="T37" s="15">
        <f t="shared" si="2"/>
        <v>0.52380952380952384</v>
      </c>
      <c r="U37" s="15">
        <f t="shared" si="0"/>
        <v>0.40476190476190477</v>
      </c>
      <c r="V37" s="15">
        <f t="shared" si="8"/>
        <v>0.40476190476190477</v>
      </c>
      <c r="W37" s="17">
        <f t="shared" si="4"/>
        <v>25</v>
      </c>
      <c r="X37" s="17">
        <f t="shared" si="9"/>
        <v>0.52380952380952384</v>
      </c>
      <c r="Y37" s="57">
        <f t="shared" si="6"/>
        <v>24</v>
      </c>
      <c r="Z37" s="57">
        <f t="shared" si="7"/>
        <v>0.5</v>
      </c>
    </row>
    <row r="38" spans="18:26" x14ac:dyDescent="0.3">
      <c r="R38">
        <v>15</v>
      </c>
      <c r="S38">
        <f t="shared" si="1"/>
        <v>0.5</v>
      </c>
      <c r="T38" s="15">
        <f t="shared" si="2"/>
        <v>0.47619047619047616</v>
      </c>
      <c r="U38" s="15">
        <f t="shared" si="0"/>
        <v>0.34523809523809523</v>
      </c>
      <c r="V38" s="15">
        <f t="shared" si="8"/>
        <v>0.34523809523809523</v>
      </c>
      <c r="W38" s="17">
        <f t="shared" si="4"/>
        <v>25</v>
      </c>
      <c r="X38" s="17">
        <f t="shared" si="9"/>
        <v>0.47619047619047616</v>
      </c>
      <c r="Y38" s="57">
        <f t="shared" si="6"/>
        <v>24</v>
      </c>
      <c r="Z38" s="57">
        <f t="shared" si="7"/>
        <v>0.45</v>
      </c>
    </row>
    <row r="39" spans="18:26" x14ac:dyDescent="0.3">
      <c r="R39">
        <v>16</v>
      </c>
      <c r="S39">
        <f t="shared" si="1"/>
        <v>0.45</v>
      </c>
      <c r="T39" s="15">
        <f t="shared" si="2"/>
        <v>0.42857142857142855</v>
      </c>
      <c r="U39" s="15">
        <f t="shared" si="0"/>
        <v>0.2857142857142857</v>
      </c>
      <c r="V39" s="15">
        <f t="shared" si="8"/>
        <v>0.2857142857142857</v>
      </c>
      <c r="W39" s="17">
        <f t="shared" si="4"/>
        <v>25</v>
      </c>
      <c r="X39" s="17">
        <f t="shared" si="9"/>
        <v>0.42857142857142855</v>
      </c>
      <c r="Y39" s="57">
        <f t="shared" si="6"/>
        <v>24</v>
      </c>
      <c r="Z39" s="57">
        <f t="shared" si="7"/>
        <v>0.4</v>
      </c>
    </row>
    <row r="40" spans="18:26" x14ac:dyDescent="0.3">
      <c r="R40">
        <v>17</v>
      </c>
      <c r="S40">
        <f t="shared" si="1"/>
        <v>0.4</v>
      </c>
      <c r="T40" s="15">
        <f t="shared" si="2"/>
        <v>0.38095238095238093</v>
      </c>
      <c r="U40" s="15">
        <f t="shared" si="0"/>
        <v>0.22619047619047619</v>
      </c>
      <c r="V40" s="15">
        <f t="shared" si="8"/>
        <v>0.22619047619047619</v>
      </c>
      <c r="W40" s="17">
        <f t="shared" si="4"/>
        <v>25</v>
      </c>
      <c r="X40" s="17">
        <f t="shared" si="9"/>
        <v>0.38095238095238093</v>
      </c>
      <c r="Y40" s="57">
        <f t="shared" si="6"/>
        <v>24</v>
      </c>
      <c r="Z40" s="57">
        <f t="shared" si="7"/>
        <v>0.35</v>
      </c>
    </row>
    <row r="41" spans="18:26" x14ac:dyDescent="0.3">
      <c r="T41" s="15"/>
      <c r="U41" s="15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39"/>
  <sheetViews>
    <sheetView workbookViewId="0"/>
  </sheetViews>
  <sheetFormatPr defaultColWidth="9.109375" defaultRowHeight="13.2" x14ac:dyDescent="0.25"/>
  <cols>
    <col min="1" max="1" width="25.88671875" style="2" customWidth="1"/>
    <col min="2" max="2" width="10.44140625" style="2" bestFit="1" customWidth="1"/>
    <col min="3" max="3" width="11.44140625" style="2" bestFit="1" customWidth="1"/>
    <col min="4" max="7" width="9.109375" style="2"/>
    <col min="8" max="8" width="18.5546875" style="2" bestFit="1" customWidth="1"/>
    <col min="9" max="9" width="13.44140625" style="2" customWidth="1"/>
    <col min="10" max="16384" width="9.109375" style="2"/>
  </cols>
  <sheetData>
    <row r="1" spans="1:1" ht="15.75" x14ac:dyDescent="0.25">
      <c r="A1" s="1" t="s">
        <v>10</v>
      </c>
    </row>
    <row r="3" spans="1:1" ht="12.75" x14ac:dyDescent="0.2">
      <c r="A3" s="2" t="s">
        <v>13</v>
      </c>
    </row>
    <row r="4" spans="1:1" ht="12.75" customHeight="1" x14ac:dyDescent="0.2">
      <c r="A4" s="3"/>
    </row>
    <row r="5" spans="1:1" ht="12.75" x14ac:dyDescent="0.2">
      <c r="A5" s="3" t="s">
        <v>63</v>
      </c>
    </row>
    <row r="6" spans="1:1" ht="12.75" x14ac:dyDescent="0.2">
      <c r="A6" s="3" t="s">
        <v>23</v>
      </c>
    </row>
    <row r="7" spans="1:1" ht="12.75" x14ac:dyDescent="0.2">
      <c r="A7" s="3" t="s">
        <v>11</v>
      </c>
    </row>
    <row r="8" spans="1:1" ht="12.75" x14ac:dyDescent="0.2">
      <c r="A8" s="3" t="s">
        <v>2</v>
      </c>
    </row>
    <row r="9" spans="1:1" ht="12.75" x14ac:dyDescent="0.2">
      <c r="A9" s="3" t="s">
        <v>12</v>
      </c>
    </row>
    <row r="10" spans="1:1" ht="12.75" x14ac:dyDescent="0.2">
      <c r="A10" s="3" t="s">
        <v>18</v>
      </c>
    </row>
    <row r="11" spans="1:1" ht="12.75" x14ac:dyDescent="0.2">
      <c r="A11" s="3" t="s">
        <v>19</v>
      </c>
    </row>
    <row r="12" spans="1:1" ht="12.75" x14ac:dyDescent="0.2">
      <c r="A12" s="3" t="s">
        <v>20</v>
      </c>
    </row>
    <row r="13" spans="1:1" ht="12.75" x14ac:dyDescent="0.2">
      <c r="A13" s="3" t="s">
        <v>21</v>
      </c>
    </row>
    <row r="14" spans="1:1" ht="12.75" x14ac:dyDescent="0.2">
      <c r="A14" s="3" t="s">
        <v>22</v>
      </c>
    </row>
    <row r="16" spans="1:1" ht="12.75" x14ac:dyDescent="0.2">
      <c r="A16" s="4" t="s">
        <v>24</v>
      </c>
    </row>
    <row r="17" spans="1:1" ht="12.75" x14ac:dyDescent="0.2">
      <c r="A17" s="3"/>
    </row>
    <row r="18" spans="1:1" ht="12.75" x14ac:dyDescent="0.2">
      <c r="A18" s="3" t="s">
        <v>4</v>
      </c>
    </row>
    <row r="19" spans="1:1" ht="12.75" x14ac:dyDescent="0.2">
      <c r="A19" s="3" t="s">
        <v>7</v>
      </c>
    </row>
    <row r="21" spans="1:1" ht="12.75" x14ac:dyDescent="0.2">
      <c r="A21" s="4" t="s">
        <v>25</v>
      </c>
    </row>
    <row r="22" spans="1:1" ht="12.75" x14ac:dyDescent="0.2">
      <c r="A22" s="3"/>
    </row>
    <row r="23" spans="1:1" ht="12.75" x14ac:dyDescent="0.2">
      <c r="A23" s="3" t="s">
        <v>14</v>
      </c>
    </row>
    <row r="24" spans="1:1" ht="12.75" x14ac:dyDescent="0.2">
      <c r="A24" s="3" t="s">
        <v>16</v>
      </c>
    </row>
    <row r="25" spans="1:1" ht="12.75" x14ac:dyDescent="0.2">
      <c r="A25" s="3" t="s">
        <v>17</v>
      </c>
    </row>
    <row r="27" spans="1:1" ht="12.75" x14ac:dyDescent="0.2">
      <c r="A27" s="4" t="s">
        <v>26</v>
      </c>
    </row>
    <row r="28" spans="1:1" ht="12.75" x14ac:dyDescent="0.2">
      <c r="A28" s="3"/>
    </row>
    <row r="29" spans="1:1" ht="12.75" x14ac:dyDescent="0.2">
      <c r="A29" s="3" t="s">
        <v>15</v>
      </c>
    </row>
    <row r="30" spans="1:1" ht="12.75" x14ac:dyDescent="0.2">
      <c r="A30" s="3" t="s">
        <v>14</v>
      </c>
    </row>
    <row r="32" spans="1:1" x14ac:dyDescent="0.25">
      <c r="A32" s="4" t="s">
        <v>27</v>
      </c>
    </row>
    <row r="33" spans="1:1" x14ac:dyDescent="0.25">
      <c r="A33" s="3" t="s">
        <v>1</v>
      </c>
    </row>
    <row r="34" spans="1:1" x14ac:dyDescent="0.25">
      <c r="A34" s="3" t="s">
        <v>28</v>
      </c>
    </row>
    <row r="36" spans="1:1" x14ac:dyDescent="0.25">
      <c r="A36" s="4" t="s">
        <v>29</v>
      </c>
    </row>
    <row r="37" spans="1:1" x14ac:dyDescent="0.25">
      <c r="A37" s="5" t="s">
        <v>30</v>
      </c>
    </row>
    <row r="38" spans="1:1" x14ac:dyDescent="0.25">
      <c r="A38" s="5" t="s">
        <v>31</v>
      </c>
    </row>
    <row r="39" spans="1:1" x14ac:dyDescent="0.25">
      <c r="A39" s="5" t="s">
        <v>32</v>
      </c>
    </row>
  </sheetData>
  <pageMargins left="0.75" right="0.75" top="1" bottom="1" header="0.5" footer="0.5"/>
  <pageSetup orientation="portrait" horizontalDpi="4294967294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CE84"/>
  <sheetViews>
    <sheetView workbookViewId="0">
      <pane xSplit="2" ySplit="3" topLeftCell="Z4" activePane="bottomRight" state="frozenSplit"/>
      <selection activeCell="A2" sqref="A2"/>
      <selection pane="topRight" activeCell="C1" sqref="C1"/>
      <selection pane="bottomLeft" activeCell="A4" sqref="A4"/>
      <selection pane="bottomRight" activeCell="BK9" sqref="BK9"/>
    </sheetView>
  </sheetViews>
  <sheetFormatPr defaultColWidth="9.109375" defaultRowHeight="11.4" x14ac:dyDescent="0.2"/>
  <cols>
    <col min="1" max="1" width="11.6640625" style="34" customWidth="1"/>
    <col min="2" max="2" width="7.6640625" style="34" customWidth="1"/>
    <col min="3" max="3" width="4" style="34" customWidth="1"/>
    <col min="4" max="4" width="3.88671875" style="34" customWidth="1"/>
    <col min="5" max="5" width="4.6640625" style="34" customWidth="1"/>
    <col min="6" max="6" width="5" style="34" customWidth="1"/>
    <col min="7" max="7" width="4.44140625" style="34" customWidth="1"/>
    <col min="8" max="8" width="4.6640625" style="34" customWidth="1"/>
    <col min="9" max="9" width="3.88671875" style="34" customWidth="1"/>
    <col min="10" max="10" width="4" style="34" customWidth="1"/>
    <col min="11" max="11" width="5.33203125" style="34" customWidth="1"/>
    <col min="12" max="12" width="22.88671875" style="34" customWidth="1"/>
    <col min="13" max="14" width="6.109375" style="34" customWidth="1"/>
    <col min="15" max="15" width="5" style="34" customWidth="1"/>
    <col min="16" max="17" width="5.44140625" style="34" customWidth="1"/>
    <col min="18" max="18" width="4.109375" style="34" customWidth="1"/>
    <col min="19" max="19" width="5.44140625" style="83" customWidth="1"/>
    <col min="20" max="20" width="7.33203125" style="34" customWidth="1"/>
    <col min="21" max="22" width="6.109375" style="34" customWidth="1"/>
    <col min="23" max="23" width="6.5546875" style="34" customWidth="1"/>
    <col min="24" max="24" width="6.6640625" style="34" customWidth="1"/>
    <col min="25" max="25" width="6.109375" style="34" customWidth="1"/>
    <col min="26" max="26" width="6.33203125" style="34" customWidth="1"/>
    <col min="27" max="27" width="6" style="34" customWidth="1"/>
    <col min="28" max="28" width="7" style="34" customWidth="1"/>
    <col min="29" max="29" width="7" style="56" customWidth="1"/>
    <col min="30" max="30" width="7" style="34" customWidth="1"/>
    <col min="31" max="31" width="6.88671875" style="34" customWidth="1"/>
    <col min="32" max="32" width="6.5546875" style="34" customWidth="1"/>
    <col min="33" max="33" width="7" style="34" customWidth="1"/>
    <col min="34" max="34" width="7.109375" style="34" customWidth="1"/>
    <col min="35" max="35" width="3.6640625" style="71" customWidth="1"/>
    <col min="36" max="38" width="5.109375" style="34" bestFit="1" customWidth="1"/>
    <col min="39" max="41" width="6" style="34" bestFit="1" customWidth="1"/>
    <col min="42" max="43" width="4.5546875" style="34" bestFit="1" customWidth="1"/>
    <col min="44" max="44" width="4" style="34" bestFit="1" customWidth="1"/>
    <col min="45" max="45" width="3.44140625" style="71" customWidth="1"/>
    <col min="46" max="46" width="6.44140625" style="34" bestFit="1" customWidth="1"/>
    <col min="47" max="48" width="4.5546875" style="34" bestFit="1" customWidth="1"/>
    <col min="49" max="51" width="5.109375" style="34" bestFit="1" customWidth="1"/>
    <col min="52" max="52" width="3.44140625" style="71" bestFit="1" customWidth="1"/>
    <col min="53" max="53" width="6.5546875" style="34" bestFit="1" customWidth="1"/>
    <col min="54" max="55" width="4.5546875" style="34" bestFit="1" customWidth="1"/>
    <col min="56" max="58" width="5.33203125" style="34" bestFit="1" customWidth="1"/>
    <col min="59" max="59" width="7.88671875" style="71" customWidth="1"/>
    <col min="60" max="60" width="8.109375" style="34" customWidth="1"/>
    <col min="61" max="61" width="6.5546875" style="34" bestFit="1" customWidth="1"/>
    <col min="62" max="62" width="5.5546875" style="34" bestFit="1" customWidth="1"/>
    <col min="63" max="63" width="4.5546875" style="34" bestFit="1" customWidth="1"/>
    <col min="64" max="64" width="5.5546875" style="34" bestFit="1" customWidth="1"/>
    <col min="65" max="16384" width="9.109375" style="34"/>
  </cols>
  <sheetData>
    <row r="1" spans="1:83" ht="12" x14ac:dyDescent="0.2">
      <c r="AC1" s="34"/>
      <c r="AI1" s="83"/>
      <c r="BG1" s="75" t="s">
        <v>128</v>
      </c>
      <c r="BH1" s="34">
        <f>f_Cons</f>
        <v>0.4375</v>
      </c>
      <c r="BI1" s="34" t="str">
        <f>TEXT(f_Cons*16+(1-f_Cons)*32,"0.0")&amp;"°C"</f>
        <v>25.0°C</v>
      </c>
      <c r="BP1" s="56">
        <v>100</v>
      </c>
      <c r="BS1" s="56">
        <v>5</v>
      </c>
    </row>
    <row r="2" spans="1:83" s="36" customFormat="1" ht="220.5" customHeight="1" x14ac:dyDescent="0.3">
      <c r="A2" s="35" t="s">
        <v>97</v>
      </c>
      <c r="B2" s="35" t="s">
        <v>88</v>
      </c>
      <c r="C2" s="35" t="s">
        <v>105</v>
      </c>
      <c r="D2" s="11" t="s">
        <v>0</v>
      </c>
      <c r="E2" s="11" t="s">
        <v>101</v>
      </c>
      <c r="F2" s="11" t="s">
        <v>68</v>
      </c>
      <c r="G2" s="11" t="s">
        <v>69</v>
      </c>
      <c r="H2" s="11" t="s">
        <v>37</v>
      </c>
      <c r="I2" s="11" t="s">
        <v>8</v>
      </c>
      <c r="J2" s="11" t="s">
        <v>35</v>
      </c>
      <c r="K2" s="11" t="s">
        <v>102</v>
      </c>
      <c r="L2" s="11" t="s">
        <v>9</v>
      </c>
      <c r="M2" s="11" t="s">
        <v>38</v>
      </c>
      <c r="N2" s="11" t="s">
        <v>39</v>
      </c>
      <c r="O2" s="11" t="s">
        <v>40</v>
      </c>
      <c r="P2" s="11" t="s">
        <v>50</v>
      </c>
      <c r="Q2" s="11" t="s">
        <v>51</v>
      </c>
      <c r="R2" s="11" t="s">
        <v>52</v>
      </c>
      <c r="S2" s="84" t="s">
        <v>34</v>
      </c>
      <c r="T2" s="11" t="s">
        <v>36</v>
      </c>
      <c r="U2" s="11" t="s">
        <v>33</v>
      </c>
      <c r="V2" s="11" t="s">
        <v>72</v>
      </c>
      <c r="W2" s="11" t="s">
        <v>41</v>
      </c>
      <c r="X2" s="11" t="s">
        <v>42</v>
      </c>
      <c r="Y2" s="11" t="s">
        <v>43</v>
      </c>
      <c r="Z2" s="11" t="s">
        <v>44</v>
      </c>
      <c r="AA2" s="11" t="s">
        <v>45</v>
      </c>
      <c r="AB2" s="11" t="s">
        <v>46</v>
      </c>
      <c r="AC2" s="51" t="s">
        <v>33</v>
      </c>
      <c r="AD2" s="11" t="s">
        <v>47</v>
      </c>
      <c r="AE2" s="11" t="s">
        <v>48</v>
      </c>
      <c r="AF2" s="11" t="s">
        <v>49</v>
      </c>
      <c r="AG2" s="11" t="s">
        <v>67</v>
      </c>
      <c r="AH2" s="11" t="s">
        <v>71</v>
      </c>
      <c r="AI2" s="72" t="s">
        <v>106</v>
      </c>
      <c r="AJ2" s="11" t="s">
        <v>44</v>
      </c>
      <c r="AK2" s="11" t="s">
        <v>45</v>
      </c>
      <c r="AL2" s="11" t="s">
        <v>46</v>
      </c>
      <c r="AM2" s="11" t="s">
        <v>47</v>
      </c>
      <c r="AN2" s="11" t="s">
        <v>48</v>
      </c>
      <c r="AO2" s="11" t="s">
        <v>49</v>
      </c>
      <c r="AP2" s="11" t="s">
        <v>64</v>
      </c>
      <c r="AQ2" s="11" t="s">
        <v>65</v>
      </c>
      <c r="AR2" s="11" t="s">
        <v>66</v>
      </c>
      <c r="AS2" s="72" t="s">
        <v>53</v>
      </c>
      <c r="AT2" s="11" t="s">
        <v>36</v>
      </c>
      <c r="AU2" s="11" t="s">
        <v>33</v>
      </c>
      <c r="AV2" s="11" t="s">
        <v>72</v>
      </c>
      <c r="AW2" s="11" t="s">
        <v>41</v>
      </c>
      <c r="AX2" s="11" t="s">
        <v>42</v>
      </c>
      <c r="AY2" s="11" t="s">
        <v>43</v>
      </c>
      <c r="AZ2" s="72" t="s">
        <v>54</v>
      </c>
      <c r="BA2" s="11" t="s">
        <v>36</v>
      </c>
      <c r="BB2" s="11" t="s">
        <v>33</v>
      </c>
      <c r="BC2" s="11" t="s">
        <v>72</v>
      </c>
      <c r="BD2" s="11" t="s">
        <v>41</v>
      </c>
      <c r="BE2" s="11" t="s">
        <v>42</v>
      </c>
      <c r="BF2" s="11" t="s">
        <v>43</v>
      </c>
      <c r="BG2" s="76" t="s">
        <v>61</v>
      </c>
      <c r="BH2" s="11" t="s">
        <v>62</v>
      </c>
      <c r="BI2" s="11" t="s">
        <v>67</v>
      </c>
      <c r="BJ2" s="11" t="s">
        <v>70</v>
      </c>
      <c r="BK2" s="11" t="s">
        <v>71</v>
      </c>
      <c r="BL2" s="12" t="s">
        <v>74</v>
      </c>
      <c r="BN2" s="36" t="s">
        <v>111</v>
      </c>
      <c r="BO2" s="36" t="s">
        <v>112</v>
      </c>
      <c r="BP2" s="36" t="s">
        <v>113</v>
      </c>
      <c r="BQ2" s="36" t="s">
        <v>113</v>
      </c>
      <c r="BR2" s="36" t="s">
        <v>114</v>
      </c>
      <c r="BS2" s="36" t="s">
        <v>115</v>
      </c>
    </row>
    <row r="3" spans="1:83" x14ac:dyDescent="0.2">
      <c r="A3" s="87"/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89"/>
      <c r="O3" s="88"/>
      <c r="P3" s="88"/>
      <c r="Q3" s="88"/>
      <c r="R3" s="88"/>
      <c r="S3" s="90"/>
      <c r="T3" s="52" t="s">
        <v>60</v>
      </c>
      <c r="U3" s="52" t="s">
        <v>6</v>
      </c>
      <c r="V3" s="52" t="s">
        <v>73</v>
      </c>
      <c r="W3" s="52" t="s">
        <v>3</v>
      </c>
      <c r="X3" s="52" t="s">
        <v>3</v>
      </c>
      <c r="Y3" s="52" t="s">
        <v>3</v>
      </c>
      <c r="Z3" s="52" t="s">
        <v>3</v>
      </c>
      <c r="AA3" s="52" t="s">
        <v>3</v>
      </c>
      <c r="AB3" s="52" t="s">
        <v>3</v>
      </c>
      <c r="AC3" s="52" t="s">
        <v>6</v>
      </c>
      <c r="AD3" s="52" t="s">
        <v>5</v>
      </c>
      <c r="AE3" s="52" t="s">
        <v>5</v>
      </c>
      <c r="AF3" s="52" t="s">
        <v>5</v>
      </c>
      <c r="AG3" s="52" t="s">
        <v>5</v>
      </c>
      <c r="AH3" s="52" t="s">
        <v>6</v>
      </c>
      <c r="AI3" s="91"/>
      <c r="AJ3" s="52" t="s">
        <v>3</v>
      </c>
      <c r="AK3" s="52" t="s">
        <v>3</v>
      </c>
      <c r="AL3" s="52" t="s">
        <v>3</v>
      </c>
      <c r="AM3" s="52" t="s">
        <v>5</v>
      </c>
      <c r="AN3" s="52" t="s">
        <v>5</v>
      </c>
      <c r="AO3" s="52" t="s">
        <v>5</v>
      </c>
      <c r="AP3" s="52" t="s">
        <v>6</v>
      </c>
      <c r="AQ3" s="52" t="s">
        <v>6</v>
      </c>
      <c r="AR3" s="52" t="s">
        <v>6</v>
      </c>
      <c r="AS3" s="91"/>
      <c r="AT3" s="52" t="s">
        <v>60</v>
      </c>
      <c r="AU3" s="52" t="s">
        <v>6</v>
      </c>
      <c r="AV3" s="52" t="s">
        <v>73</v>
      </c>
      <c r="AW3" s="52" t="s">
        <v>3</v>
      </c>
      <c r="AX3" s="52" t="s">
        <v>3</v>
      </c>
      <c r="AY3" s="52" t="s">
        <v>3</v>
      </c>
      <c r="AZ3" s="91"/>
      <c r="BA3" s="52" t="s">
        <v>60</v>
      </c>
      <c r="BB3" s="52" t="s">
        <v>6</v>
      </c>
      <c r="BC3" s="52" t="s">
        <v>73</v>
      </c>
      <c r="BD3" s="52" t="s">
        <v>3</v>
      </c>
      <c r="BE3" s="52" t="s">
        <v>3</v>
      </c>
      <c r="BF3" s="52" t="s">
        <v>3</v>
      </c>
      <c r="BG3" s="92" t="s">
        <v>60</v>
      </c>
      <c r="BH3" s="52" t="s">
        <v>6</v>
      </c>
      <c r="BI3" s="52" t="s">
        <v>5</v>
      </c>
      <c r="BJ3" s="52" t="s">
        <v>6</v>
      </c>
      <c r="BK3" s="52" t="s">
        <v>6</v>
      </c>
      <c r="BL3" s="93" t="s">
        <v>6</v>
      </c>
    </row>
    <row r="4" spans="1:83" s="38" customFormat="1" ht="15" customHeight="1" x14ac:dyDescent="0.2">
      <c r="B4" s="38" t="s">
        <v>93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N4" s="40"/>
      <c r="O4" s="39"/>
      <c r="P4" s="39"/>
      <c r="Q4" s="39"/>
      <c r="R4" s="39"/>
      <c r="S4" s="85"/>
      <c r="T4" s="13"/>
      <c r="U4" s="13"/>
      <c r="V4" s="13"/>
      <c r="W4" s="13"/>
      <c r="X4" s="13"/>
      <c r="Y4" s="13"/>
      <c r="Z4" s="13"/>
      <c r="AA4" s="13"/>
      <c r="AB4" s="13"/>
      <c r="AC4" s="54"/>
      <c r="AD4" s="13"/>
      <c r="AE4" s="13"/>
      <c r="AF4" s="13"/>
      <c r="AG4" s="13"/>
      <c r="AH4" s="13"/>
      <c r="AI4" s="73"/>
      <c r="AJ4" s="13"/>
      <c r="AK4" s="13"/>
      <c r="AL4" s="13"/>
      <c r="AM4" s="13"/>
      <c r="AN4" s="13"/>
      <c r="AO4" s="13"/>
      <c r="AP4" s="13">
        <v>0</v>
      </c>
      <c r="AQ4" s="13"/>
      <c r="AR4" s="13"/>
      <c r="AS4" s="73"/>
      <c r="AT4" s="13"/>
      <c r="AU4" s="13"/>
      <c r="AV4" s="13"/>
      <c r="AW4" s="13"/>
      <c r="AX4" s="13"/>
      <c r="AY4" s="13"/>
      <c r="AZ4" s="73"/>
      <c r="BA4" s="13"/>
      <c r="BB4" s="13"/>
      <c r="BC4" s="13"/>
      <c r="BD4" s="13"/>
      <c r="BE4" s="13"/>
      <c r="BF4" s="13"/>
      <c r="BG4" s="77"/>
      <c r="BH4" s="13">
        <v>0</v>
      </c>
      <c r="BI4" s="13"/>
      <c r="BJ4" s="13">
        <v>0</v>
      </c>
      <c r="BK4" s="13">
        <v>0</v>
      </c>
      <c r="BL4" s="14">
        <v>0</v>
      </c>
      <c r="BP4" s="38">
        <f>$BP$1</f>
        <v>100</v>
      </c>
      <c r="BQ4" s="38">
        <f>-$BP$1</f>
        <v>-100</v>
      </c>
      <c r="BS4" s="38">
        <f>$BS$1</f>
        <v>5</v>
      </c>
    </row>
    <row r="5" spans="1:83" ht="15" customHeight="1" x14ac:dyDescent="0.2">
      <c r="A5" s="80"/>
      <c r="B5" s="41">
        <v>1</v>
      </c>
      <c r="C5" s="37" t="str">
        <f>TEXT(AH5,"00")</f>
        <v>21</v>
      </c>
      <c r="D5" s="18">
        <v>3</v>
      </c>
      <c r="E5" s="19" t="s">
        <v>94</v>
      </c>
      <c r="F5" s="19" t="s">
        <v>17</v>
      </c>
      <c r="G5" s="19" t="s">
        <v>15</v>
      </c>
      <c r="H5" s="20">
        <v>2</v>
      </c>
      <c r="I5" s="20">
        <v>1</v>
      </c>
      <c r="J5" s="20">
        <v>1</v>
      </c>
      <c r="K5" s="20" t="s">
        <v>94</v>
      </c>
      <c r="L5" s="21"/>
      <c r="M5" s="22" t="s">
        <v>2</v>
      </c>
      <c r="N5" s="22" t="s">
        <v>12</v>
      </c>
      <c r="O5" s="22"/>
      <c r="P5" s="19" t="s">
        <v>4</v>
      </c>
      <c r="Q5" s="19" t="s">
        <v>4</v>
      </c>
      <c r="R5" s="19"/>
      <c r="S5" s="86"/>
      <c r="T5" s="23">
        <v>224</v>
      </c>
      <c r="U5" s="24">
        <v>20.6</v>
      </c>
      <c r="V5" s="24">
        <v>13</v>
      </c>
      <c r="W5" s="24">
        <v>5</v>
      </c>
      <c r="X5" s="24">
        <v>1.4</v>
      </c>
      <c r="Y5" s="24"/>
      <c r="Z5" s="25">
        <f t="shared" ref="Z5:AB6" si="0">GetReferenceTemperature(M5,"AV2011")</f>
        <v>5</v>
      </c>
      <c r="AA5" s="25">
        <f t="shared" si="0"/>
        <v>0</v>
      </c>
      <c r="AB5" s="25" t="str">
        <f t="shared" si="0"/>
        <v/>
      </c>
      <c r="AC5" s="53"/>
      <c r="AD5" s="24">
        <v>200</v>
      </c>
      <c r="AE5" s="24">
        <v>105</v>
      </c>
      <c r="AF5" s="24"/>
      <c r="AG5" s="25">
        <f>EnergyLabel("AV2011",AD5:AF5,M5:O5,P5:R5,F5,E5,D5,T5,0)</f>
        <v>397.5</v>
      </c>
      <c r="AH5" s="25">
        <f>EnergyLabel("EI2011",AD5:AF5,M5:O5,P5:R5,F5,E5,D5,T5*365/1000,0)</f>
        <v>21.092958909233975</v>
      </c>
      <c r="AI5" s="74"/>
      <c r="AJ5" s="25">
        <f t="shared" ref="AJ5:AL6" si="1">GetReferenceTemperature(M5,"AV_NG")</f>
        <v>4</v>
      </c>
      <c r="AK5" s="25">
        <f t="shared" si="1"/>
        <v>2</v>
      </c>
      <c r="AL5" s="25" t="str">
        <f t="shared" si="1"/>
        <v/>
      </c>
      <c r="AM5" s="24">
        <v>200</v>
      </c>
      <c r="AN5" s="24">
        <v>105</v>
      </c>
      <c r="AO5" s="24"/>
      <c r="AP5" s="42">
        <f t="shared" ref="AP5:AR8" si="2">IF(AND(ISNUMBER(AM5),ISNUMBER(AD5)),(AM5-AD5)/AD5*100,"")</f>
        <v>0</v>
      </c>
      <c r="AQ5" s="42">
        <f t="shared" si="2"/>
        <v>0</v>
      </c>
      <c r="AR5" s="42" t="str">
        <f t="shared" si="2"/>
        <v/>
      </c>
      <c r="AS5" s="74"/>
      <c r="AT5" s="24">
        <v>120</v>
      </c>
      <c r="AU5" s="24">
        <v>12.7</v>
      </c>
      <c r="AV5" s="24">
        <v>15.2</v>
      </c>
      <c r="AW5" s="24">
        <v>4</v>
      </c>
      <c r="AX5" s="24">
        <v>0.8</v>
      </c>
      <c r="AY5" s="24"/>
      <c r="AZ5" s="74"/>
      <c r="BA5" s="24">
        <v>393</v>
      </c>
      <c r="BB5" s="43">
        <v>34.200000000000003</v>
      </c>
      <c r="BC5" s="43">
        <v>15.2</v>
      </c>
      <c r="BD5" s="43">
        <v>4</v>
      </c>
      <c r="BE5" s="43">
        <v>0.8</v>
      </c>
      <c r="BF5" s="43"/>
      <c r="BG5" s="78">
        <f>f_Cons*AT5+(1-f_Cons)*BA5</f>
        <v>273.5625</v>
      </c>
      <c r="BH5" s="44">
        <f>IF(AND(ISNUMBER(BG5),ISNUMBER(T5)),(BG5-T5)/T5*100,"not complete")</f>
        <v>22.126116071428573</v>
      </c>
      <c r="BI5" s="25">
        <f>EnergyLabel("AV_NG",AM5:AO5,M5:O5,P5:R5,F5,E5,D5,T5, f_Cons)</f>
        <v>378</v>
      </c>
      <c r="BJ5" s="42">
        <f>IF(AND(ISNUMBER(BI5),ISNUMBER(AG5)),(BI5-AG5)/AG5*100,"")</f>
        <v>-4.9056603773584913</v>
      </c>
      <c r="BK5" s="42">
        <f>EnergyLabel("EI_NG",AM5:AO5,M5:O5,P5:R5,F5,E5,D5,BG5*365/1000,f_Cons)</f>
        <v>26.065541514172196</v>
      </c>
      <c r="BL5" s="44">
        <f>IF(AND(ISNUMBER(BK5),ISNUMBER(AH5)),(BK5-AH5)/AH5*100,"not complete")</f>
        <v>23.574609073748054</v>
      </c>
      <c r="BO5" s="38">
        <f>C5+0</f>
        <v>21</v>
      </c>
      <c r="BS5" s="38">
        <f t="shared" ref="BS5:BS71" si="3">$BS$1</f>
        <v>5</v>
      </c>
      <c r="BZ5" s="117">
        <f>AT5/BA5</f>
        <v>0.30534351145038169</v>
      </c>
    </row>
    <row r="6" spans="1:83" ht="15" customHeight="1" x14ac:dyDescent="0.2">
      <c r="A6" s="56"/>
      <c r="B6" s="41">
        <v>2</v>
      </c>
      <c r="C6" s="37" t="str">
        <f>TEXT(AH6,"00")</f>
        <v>29</v>
      </c>
      <c r="D6" s="18">
        <v>1</v>
      </c>
      <c r="E6" s="19" t="s">
        <v>94</v>
      </c>
      <c r="F6" s="19" t="s">
        <v>17</v>
      </c>
      <c r="G6" s="19" t="s">
        <v>15</v>
      </c>
      <c r="H6" s="20">
        <v>1</v>
      </c>
      <c r="I6" s="20">
        <v>1</v>
      </c>
      <c r="J6" s="20">
        <v>1</v>
      </c>
      <c r="K6" s="20" t="s">
        <v>94</v>
      </c>
      <c r="L6" s="21"/>
      <c r="M6" s="22" t="s">
        <v>2</v>
      </c>
      <c r="N6" s="22"/>
      <c r="O6" s="22"/>
      <c r="P6" s="19" t="s">
        <v>7</v>
      </c>
      <c r="Q6" s="19"/>
      <c r="R6" s="19"/>
      <c r="S6" s="86"/>
      <c r="T6" s="23">
        <v>276</v>
      </c>
      <c r="U6" s="24">
        <v>17</v>
      </c>
      <c r="V6" s="24"/>
      <c r="W6" s="24">
        <v>5</v>
      </c>
      <c r="X6" s="24"/>
      <c r="Y6" s="24"/>
      <c r="Z6" s="25">
        <f t="shared" si="0"/>
        <v>5</v>
      </c>
      <c r="AA6" s="25" t="str">
        <f t="shared" si="0"/>
        <v/>
      </c>
      <c r="AB6" s="25" t="str">
        <f t="shared" si="0"/>
        <v/>
      </c>
      <c r="AC6" s="53"/>
      <c r="AD6" s="24">
        <v>346</v>
      </c>
      <c r="AE6" s="24"/>
      <c r="AF6" s="24"/>
      <c r="AG6" s="25">
        <f>EnergyLabel("AV2011",AD6:AF6,M6:O6,P6:R6,F6,E6,D6,T6,0)</f>
        <v>415.2</v>
      </c>
      <c r="AH6" s="25">
        <f>EnergyLabel("EI2011",AD6:AF6,M6:O6,P6:R6,F6,E6,D6,T6*365/1000,0)</f>
        <v>29.478412929535061</v>
      </c>
      <c r="AI6" s="74"/>
      <c r="AJ6" s="25">
        <f t="shared" si="1"/>
        <v>4</v>
      </c>
      <c r="AK6" s="25" t="str">
        <f t="shared" si="1"/>
        <v/>
      </c>
      <c r="AL6" s="25" t="str">
        <f t="shared" si="1"/>
        <v/>
      </c>
      <c r="AM6" s="24">
        <v>346</v>
      </c>
      <c r="AN6" s="24"/>
      <c r="AO6" s="24"/>
      <c r="AP6" s="42">
        <f t="shared" si="2"/>
        <v>0</v>
      </c>
      <c r="AQ6" s="42" t="str">
        <f t="shared" si="2"/>
        <v/>
      </c>
      <c r="AR6" s="42" t="str">
        <f t="shared" si="2"/>
        <v/>
      </c>
      <c r="AS6" s="74"/>
      <c r="AT6" s="24">
        <v>166</v>
      </c>
      <c r="AU6" s="24">
        <v>10</v>
      </c>
      <c r="AV6" s="24"/>
      <c r="AW6" s="24">
        <v>4</v>
      </c>
      <c r="AX6" s="24"/>
      <c r="AY6" s="24"/>
      <c r="AZ6" s="74"/>
      <c r="BA6" s="24">
        <v>445</v>
      </c>
      <c r="BB6" s="43">
        <v>26</v>
      </c>
      <c r="BC6" s="43"/>
      <c r="BD6" s="43">
        <v>4</v>
      </c>
      <c r="BE6" s="43"/>
      <c r="BF6" s="43"/>
      <c r="BG6" s="78">
        <f>f_Cons*AT6+(1-f_Cons)*BA6</f>
        <v>322.9375</v>
      </c>
      <c r="BH6" s="44">
        <f>IF(AND(ISNUMBER(BG6),ISNUMBER(T6)),(BG6-T6)/T6*100,"not complete")</f>
        <v>17.006340579710145</v>
      </c>
      <c r="BI6" s="25">
        <f>EnergyLabel("AV_NG",AM6:AO6,M6:O6,P6:R6,F6,E6,D6,T6, f_Cons)</f>
        <v>415.2</v>
      </c>
      <c r="BJ6" s="42">
        <f>IF(AND(ISNUMBER(BI6),ISNUMBER(AG6)),(BI6-AG6)/AG6*100,"")</f>
        <v>0</v>
      </c>
      <c r="BK6" s="42">
        <f>EnergyLabel("EI_NG",AM6:AO6,M6:O6,P6:R6,F6,E6,D6,BG6*365/1000,f_Cons)</f>
        <v>34.491612229825108</v>
      </c>
      <c r="BL6" s="44">
        <f>IF(AND(ISNUMBER(BK6),ISNUMBER(AH6)),(BK6-AH6)/AH6*100,"not complete")</f>
        <v>17.006340579710159</v>
      </c>
      <c r="BO6" s="38">
        <f>C6+0</f>
        <v>29</v>
      </c>
      <c r="BS6" s="38">
        <f t="shared" si="3"/>
        <v>5</v>
      </c>
      <c r="BZ6" s="117">
        <f>AT6/BA6</f>
        <v>0.37303370786516854</v>
      </c>
    </row>
    <row r="7" spans="1:83" ht="15" customHeight="1" x14ac:dyDescent="0.2">
      <c r="A7" s="56"/>
      <c r="B7" s="41">
        <v>3</v>
      </c>
      <c r="C7" s="37" t="str">
        <f t="shared" ref="C7:C83" si="4">TEXT(AH7,"00")</f>
        <v>30</v>
      </c>
      <c r="D7" s="18">
        <v>1</v>
      </c>
      <c r="E7" s="19" t="s">
        <v>95</v>
      </c>
      <c r="F7" s="19" t="s">
        <v>17</v>
      </c>
      <c r="G7" s="19" t="s">
        <v>15</v>
      </c>
      <c r="H7" s="20">
        <v>1</v>
      </c>
      <c r="I7" s="20">
        <v>1</v>
      </c>
      <c r="J7" s="20">
        <v>1</v>
      </c>
      <c r="K7" s="20" t="s">
        <v>94</v>
      </c>
      <c r="L7" s="21"/>
      <c r="M7" s="22" t="s">
        <v>2</v>
      </c>
      <c r="N7" s="22"/>
      <c r="O7" s="22"/>
      <c r="P7" s="19" t="s">
        <v>7</v>
      </c>
      <c r="Q7" s="19"/>
      <c r="R7" s="19"/>
      <c r="S7" s="86"/>
      <c r="T7" s="23">
        <v>250</v>
      </c>
      <c r="U7" s="24">
        <v>19</v>
      </c>
      <c r="V7" s="24"/>
      <c r="W7" s="24">
        <v>5</v>
      </c>
      <c r="X7" s="24"/>
      <c r="Y7" s="24"/>
      <c r="Z7" s="25">
        <f t="shared" ref="Z7:AB9" si="5">GetReferenceTemperature(M7,"AV2011")</f>
        <v>5</v>
      </c>
      <c r="AA7" s="25" t="str">
        <f t="shared" si="5"/>
        <v/>
      </c>
      <c r="AB7" s="25" t="str">
        <f t="shared" si="5"/>
        <v/>
      </c>
      <c r="AC7" s="53"/>
      <c r="AD7" s="24">
        <v>174</v>
      </c>
      <c r="AE7" s="24"/>
      <c r="AF7" s="24"/>
      <c r="AG7" s="25">
        <f>EnergyLabel("AV2011",AD7:AF7,M7:O7,P7:R7,F7,E7,D7,T7,0)</f>
        <v>250.55999999999997</v>
      </c>
      <c r="AH7" s="25">
        <f>EnergyLabel("EI2011",AD7:AF7,M7:O7,P7:R7,F7,E7,D7,T7*365/1000,0)</f>
        <v>30.077742641846967</v>
      </c>
      <c r="AI7" s="74"/>
      <c r="AJ7" s="25">
        <f t="shared" ref="AJ7:AL9" si="6">GetReferenceTemperature(M7,"AV_NG")</f>
        <v>4</v>
      </c>
      <c r="AK7" s="25" t="str">
        <f t="shared" si="6"/>
        <v/>
      </c>
      <c r="AL7" s="25" t="str">
        <f t="shared" si="6"/>
        <v/>
      </c>
      <c r="AM7" s="70">
        <v>174</v>
      </c>
      <c r="AN7" s="70"/>
      <c r="AO7" s="24"/>
      <c r="AP7" s="42">
        <f t="shared" si="2"/>
        <v>0</v>
      </c>
      <c r="AQ7" s="42" t="str">
        <f t="shared" si="2"/>
        <v/>
      </c>
      <c r="AR7" s="42" t="str">
        <f t="shared" si="2"/>
        <v/>
      </c>
      <c r="AS7" s="74"/>
      <c r="AT7" s="24">
        <v>136</v>
      </c>
      <c r="AU7" s="24">
        <v>14</v>
      </c>
      <c r="AV7" s="24"/>
      <c r="AW7" s="24">
        <v>4</v>
      </c>
      <c r="AX7" s="24"/>
      <c r="AY7" s="24"/>
      <c r="AZ7" s="74"/>
      <c r="BA7" s="24">
        <v>428</v>
      </c>
      <c r="BB7" s="43">
        <v>36</v>
      </c>
      <c r="BC7" s="43"/>
      <c r="BD7" s="43">
        <v>4</v>
      </c>
      <c r="BE7" s="43"/>
      <c r="BF7" s="43"/>
      <c r="BG7" s="78">
        <f>f_Cons*AT7+(1-f_Cons)*BA7</f>
        <v>300.25</v>
      </c>
      <c r="BH7" s="44">
        <f>IF(AND(ISNUMBER(BG7),ISNUMBER(T7)),(BG7-T7)/T7*100,"not complete")</f>
        <v>20.100000000000001</v>
      </c>
      <c r="BI7" s="25">
        <f>EnergyLabel("AV_NG",AM7:AO7,M7:O7,P7:R7,F7,E7,D7,T7, f_Cons)</f>
        <v>250.55999999999997</v>
      </c>
      <c r="BJ7" s="42">
        <f>IF(AND(ISNUMBER(BI7),ISNUMBER(AG7)),(BI7-AG7)/AG7*100,"")</f>
        <v>0</v>
      </c>
      <c r="BK7" s="42">
        <f>EnergyLabel("EI_NG",AM7:AO7,M7:O7,P7:R7,F7,E7,D7,BG7*365/1000,f_Cons)</f>
        <v>36.123368912858204</v>
      </c>
      <c r="BL7" s="44">
        <f>IF(AND(ISNUMBER(BK7),ISNUMBER(AH7)),(BK7-AH7)/AH7*100,"not complete")</f>
        <v>20.099999999999987</v>
      </c>
      <c r="BN7" s="34" t="str">
        <f>B4</f>
        <v>Cat 1..3</v>
      </c>
      <c r="BO7" s="38">
        <f>C7+0</f>
        <v>30</v>
      </c>
      <c r="BR7" s="82">
        <f>AVERAGE(BH5:BH9)</f>
        <v>18.775244198898161</v>
      </c>
      <c r="BS7" s="38">
        <f t="shared" si="3"/>
        <v>5</v>
      </c>
      <c r="BZ7" s="117">
        <f>AT7/BA7</f>
        <v>0.31775700934579437</v>
      </c>
    </row>
    <row r="8" spans="1:83" ht="15" customHeight="1" x14ac:dyDescent="0.2">
      <c r="A8" s="56"/>
      <c r="B8" s="41">
        <v>4</v>
      </c>
      <c r="C8" s="37" t="str">
        <f t="shared" si="4"/>
        <v>41</v>
      </c>
      <c r="D8" s="18">
        <v>1</v>
      </c>
      <c r="E8" s="19" t="s">
        <v>94</v>
      </c>
      <c r="F8" s="19" t="s">
        <v>17</v>
      </c>
      <c r="G8" s="19" t="s">
        <v>15</v>
      </c>
      <c r="H8" s="20">
        <v>1</v>
      </c>
      <c r="I8" s="20">
        <v>1</v>
      </c>
      <c r="J8" s="20">
        <v>1</v>
      </c>
      <c r="K8" s="20" t="s">
        <v>94</v>
      </c>
      <c r="L8" s="21" t="s">
        <v>81</v>
      </c>
      <c r="M8" s="22" t="s">
        <v>2</v>
      </c>
      <c r="N8" s="22"/>
      <c r="O8" s="22"/>
      <c r="P8" s="19" t="s">
        <v>7</v>
      </c>
      <c r="Q8" s="19"/>
      <c r="R8" s="19"/>
      <c r="S8" s="86"/>
      <c r="T8" s="23">
        <v>352</v>
      </c>
      <c r="U8" s="24"/>
      <c r="V8" s="24"/>
      <c r="W8" s="24">
        <v>5</v>
      </c>
      <c r="X8" s="24"/>
      <c r="Y8" s="24"/>
      <c r="Z8" s="25">
        <f t="shared" si="5"/>
        <v>5</v>
      </c>
      <c r="AA8" s="25" t="str">
        <f t="shared" si="5"/>
        <v/>
      </c>
      <c r="AB8" s="25" t="str">
        <f t="shared" si="5"/>
        <v/>
      </c>
      <c r="AC8" s="53"/>
      <c r="AD8" s="24">
        <v>252</v>
      </c>
      <c r="AE8" s="24"/>
      <c r="AF8" s="24"/>
      <c r="AG8" s="25">
        <f>EnergyLabel("AV2011",AD8:AF8,M8:O8,P8:R8,F8,E8,D8,T8,0)</f>
        <v>302.39999999999998</v>
      </c>
      <c r="AH8" s="25">
        <f>EnergyLabel("EI2011",AD8:AF8,M8:O8,P8:R8,F8,E8,D8,T8*365/1000,0)</f>
        <v>40.727929317008346</v>
      </c>
      <c r="AI8" s="74"/>
      <c r="AJ8" s="25">
        <f t="shared" si="6"/>
        <v>4</v>
      </c>
      <c r="AK8" s="25" t="str">
        <f t="shared" si="6"/>
        <v/>
      </c>
      <c r="AL8" s="25" t="str">
        <f t="shared" si="6"/>
        <v/>
      </c>
      <c r="AM8" s="70">
        <v>254</v>
      </c>
      <c r="AN8" s="70"/>
      <c r="AO8" s="24"/>
      <c r="AP8" s="42">
        <f t="shared" si="2"/>
        <v>0.79365079365079361</v>
      </c>
      <c r="AQ8" s="42" t="str">
        <f t="shared" si="2"/>
        <v/>
      </c>
      <c r="AR8" s="42" t="str">
        <f t="shared" si="2"/>
        <v/>
      </c>
      <c r="AS8" s="74"/>
      <c r="AT8" s="24">
        <v>205</v>
      </c>
      <c r="AU8" s="24"/>
      <c r="AV8" s="24"/>
      <c r="AW8" s="24">
        <v>4</v>
      </c>
      <c r="AX8" s="24"/>
      <c r="AY8" s="24"/>
      <c r="AZ8" s="74"/>
      <c r="BA8" s="24">
        <v>610</v>
      </c>
      <c r="BB8" s="43"/>
      <c r="BC8" s="43"/>
      <c r="BD8" s="43">
        <v>4</v>
      </c>
      <c r="BE8" s="43"/>
      <c r="BF8" s="43"/>
      <c r="BG8" s="78">
        <f>f_Cons*AT8+(1-f_Cons)*BA8</f>
        <v>432.8125</v>
      </c>
      <c r="BH8" s="44">
        <f>IF(AND(ISNUMBER(BG8),ISNUMBER(T8)),(BG8-T8)/T8*100,"not complete")</f>
        <v>22.95809659090909</v>
      </c>
      <c r="BI8" s="25">
        <f>EnergyLabel("AV_NG",AM8:AO8,M8:O8,P8:R8,F8,E8,D8,T8, f_Cons)</f>
        <v>304.8</v>
      </c>
      <c r="BJ8" s="42">
        <f>IF(AND(ISNUMBER(BI8),ISNUMBER(AG8)),(BI8-AG8)/AG8*100,"")</f>
        <v>0.79365079365080504</v>
      </c>
      <c r="BK8" s="42">
        <f>EnergyLabel("EI_NG",AM8:AO8,M8:O8,P8:R8,F8,E8,D8,BG8*365/1000,f_Cons)</f>
        <v>49.989672278576187</v>
      </c>
      <c r="BL8" s="44">
        <f>IF(AND(ISNUMBER(BK8),ISNUMBER(AH8)),(BK8-AH8)/AH8*100,"not complete")</f>
        <v>22.740520121900854</v>
      </c>
      <c r="BO8" s="38">
        <f>C8+0</f>
        <v>41</v>
      </c>
      <c r="BS8" s="38">
        <f t="shared" si="3"/>
        <v>5</v>
      </c>
      <c r="BZ8" s="117">
        <f>AT8/BA8</f>
        <v>0.33606557377049179</v>
      </c>
    </row>
    <row r="9" spans="1:83" ht="15" customHeight="1" x14ac:dyDescent="0.2">
      <c r="A9" s="56"/>
      <c r="B9" s="41">
        <v>5</v>
      </c>
      <c r="C9" s="37" t="str">
        <f t="shared" si="4"/>
        <v>33</v>
      </c>
      <c r="D9" s="18">
        <v>1</v>
      </c>
      <c r="E9" s="19" t="s">
        <v>94</v>
      </c>
      <c r="F9" s="19" t="s">
        <v>17</v>
      </c>
      <c r="G9" s="19" t="s">
        <v>15</v>
      </c>
      <c r="H9" s="20">
        <v>1</v>
      </c>
      <c r="I9" s="20">
        <v>1</v>
      </c>
      <c r="J9" s="20">
        <v>1</v>
      </c>
      <c r="K9" s="20" t="s">
        <v>94</v>
      </c>
      <c r="L9" s="21"/>
      <c r="M9" s="22" t="s">
        <v>2</v>
      </c>
      <c r="N9" s="22"/>
      <c r="O9" s="22"/>
      <c r="P9" s="19" t="s">
        <v>7</v>
      </c>
      <c r="Q9" s="19"/>
      <c r="R9" s="19"/>
      <c r="S9" s="86"/>
      <c r="T9" s="23">
        <v>307</v>
      </c>
      <c r="U9" s="24"/>
      <c r="V9" s="24"/>
      <c r="W9" s="24">
        <v>5</v>
      </c>
      <c r="X9" s="24"/>
      <c r="Y9" s="24"/>
      <c r="Z9" s="67">
        <f t="shared" si="5"/>
        <v>5</v>
      </c>
      <c r="AA9" s="67" t="str">
        <f t="shared" si="5"/>
        <v/>
      </c>
      <c r="AB9" s="67" t="str">
        <f t="shared" si="5"/>
        <v/>
      </c>
      <c r="AC9" s="53"/>
      <c r="AD9" s="24">
        <v>346</v>
      </c>
      <c r="AE9" s="24"/>
      <c r="AF9" s="24"/>
      <c r="AG9" s="25">
        <f>EnergyLabel("AV2011",AD9:AF9,M9:O9,P9:R9,F9,E9,D9,T9,0)</f>
        <v>415.2</v>
      </c>
      <c r="AH9" s="25">
        <f>EnergyLabel("EI2011",AD9:AF9,M9:O9,P9:R9,F9,E9,D9,T9*365/1000,0)</f>
        <v>32.789394091910381</v>
      </c>
      <c r="AI9" s="74"/>
      <c r="AJ9" s="25">
        <f t="shared" si="6"/>
        <v>4</v>
      </c>
      <c r="AK9" s="25" t="str">
        <f t="shared" si="6"/>
        <v/>
      </c>
      <c r="AL9" s="25" t="str">
        <f t="shared" si="6"/>
        <v/>
      </c>
      <c r="AM9" s="70">
        <v>351</v>
      </c>
      <c r="AN9" s="70"/>
      <c r="AO9" s="24"/>
      <c r="AP9" s="42">
        <f>IF(AND(ISNUMBER(AM9),ISNUMBER(AD9)),(AM9-AD9)/AD9*100,"")</f>
        <v>1.4450867052023122</v>
      </c>
      <c r="AQ9" s="42" t="str">
        <f>IF(AND(ISNUMBER(AN9),ISNUMBER(AE9)),(AN9-AE9)/AE9*100,"")</f>
        <v/>
      </c>
      <c r="AR9" s="42" t="str">
        <f>IF(AND(ISNUMBER(AO9),ISNUMBER(AF9)),(AO9-AF9)/AF9*100,"")</f>
        <v/>
      </c>
      <c r="AS9" s="74"/>
      <c r="AT9" s="24">
        <v>182</v>
      </c>
      <c r="AU9" s="24"/>
      <c r="AV9" s="24"/>
      <c r="AW9" s="24">
        <v>4</v>
      </c>
      <c r="AX9" s="24"/>
      <c r="AY9" s="24"/>
      <c r="AZ9" s="74"/>
      <c r="BA9" s="24">
        <v>468</v>
      </c>
      <c r="BB9" s="43"/>
      <c r="BC9" s="43"/>
      <c r="BD9" s="43">
        <v>4</v>
      </c>
      <c r="BE9" s="43"/>
      <c r="BF9" s="43"/>
      <c r="BG9" s="78">
        <f>f_Cons*AT9+(1-f_Cons)*BA9</f>
        <v>342.875</v>
      </c>
      <c r="BH9" s="44">
        <f>IF(AND(ISNUMBER(BG9),ISNUMBER(T9)),(BG9-T9)/T9*100,"not complete")</f>
        <v>11.685667752442995</v>
      </c>
      <c r="BI9" s="25">
        <f>EnergyLabel("AV_NG",AM9:AO9,M9:O9,P9:R9,F9,E9,D9,T9, f_Cons)</f>
        <v>421.2</v>
      </c>
      <c r="BJ9" s="42">
        <f>IF(AND(ISNUMBER(BI9),ISNUMBER(AG9)),(BI9-AG9)/AG9*100,"")</f>
        <v>1.4450867052023122</v>
      </c>
      <c r="BK9" s="42">
        <f>EnergyLabel("EI_NG",AM9:AO9,M9:O9,P9:R9,F9,E9,D9,BG9*365/1000,f_Cons)</f>
        <v>36.471854312355667</v>
      </c>
      <c r="BL9" s="44">
        <f>IF(AND(ISNUMBER(BK9),ISNUMBER(AH9)),(BK9-AH9)/AH9*100,"not complete")</f>
        <v>11.230644305665296</v>
      </c>
      <c r="BO9" s="38">
        <f>C9+0</f>
        <v>33</v>
      </c>
      <c r="BS9" s="38">
        <f t="shared" si="3"/>
        <v>5</v>
      </c>
      <c r="BZ9" s="117">
        <f>AT9/BA9</f>
        <v>0.3888888888888889</v>
      </c>
    </row>
    <row r="10" spans="1:83" s="38" customFormat="1" ht="15" customHeight="1" x14ac:dyDescent="0.2">
      <c r="B10" s="38" t="s">
        <v>89</v>
      </c>
      <c r="C10" s="39"/>
      <c r="D10" s="26"/>
      <c r="E10" s="27"/>
      <c r="F10" s="27"/>
      <c r="G10" s="27"/>
      <c r="H10" s="28"/>
      <c r="I10" s="28"/>
      <c r="J10" s="28"/>
      <c r="K10" s="28"/>
      <c r="L10" s="29"/>
      <c r="M10" s="30"/>
      <c r="N10" s="30"/>
      <c r="O10" s="30"/>
      <c r="P10" s="27"/>
      <c r="Q10" s="27"/>
      <c r="R10" s="27"/>
      <c r="S10" s="86"/>
      <c r="T10" s="31"/>
      <c r="U10" s="32"/>
      <c r="V10" s="32"/>
      <c r="W10" s="32"/>
      <c r="X10" s="32"/>
      <c r="Y10" s="32"/>
      <c r="Z10" s="33"/>
      <c r="AA10" s="33"/>
      <c r="AB10" s="33"/>
      <c r="AC10" s="55"/>
      <c r="AD10" s="32"/>
      <c r="AE10" s="32"/>
      <c r="AF10" s="32"/>
      <c r="AG10" s="33"/>
      <c r="AH10" s="33"/>
      <c r="AI10" s="74"/>
      <c r="AJ10" s="33"/>
      <c r="AK10" s="33"/>
      <c r="AL10" s="33"/>
      <c r="AM10" s="33"/>
      <c r="AN10" s="33"/>
      <c r="AO10" s="32"/>
      <c r="AP10" s="13">
        <v>0</v>
      </c>
      <c r="AQ10" s="13"/>
      <c r="AR10" s="13"/>
      <c r="AS10" s="73"/>
      <c r="AT10" s="13"/>
      <c r="AU10" s="13"/>
      <c r="AV10" s="13"/>
      <c r="AW10" s="13"/>
      <c r="AX10" s="13"/>
      <c r="AY10" s="13"/>
      <c r="AZ10" s="73"/>
      <c r="BA10" s="13"/>
      <c r="BB10" s="13"/>
      <c r="BC10" s="13"/>
      <c r="BD10" s="13"/>
      <c r="BE10" s="13"/>
      <c r="BF10" s="13"/>
      <c r="BG10" s="79"/>
      <c r="BH10" s="13">
        <v>0</v>
      </c>
      <c r="BI10" s="33"/>
      <c r="BJ10" s="13">
        <v>0</v>
      </c>
      <c r="BK10" s="13">
        <v>0</v>
      </c>
      <c r="BL10" s="14">
        <v>0</v>
      </c>
      <c r="BP10" s="38">
        <f>$BP$1</f>
        <v>100</v>
      </c>
      <c r="BQ10" s="38">
        <f>-$BP$1</f>
        <v>-100</v>
      </c>
      <c r="BS10" s="38">
        <f t="shared" si="3"/>
        <v>5</v>
      </c>
      <c r="BW10" s="38">
        <v>16</v>
      </c>
      <c r="BX10" s="38">
        <v>32</v>
      </c>
      <c r="CC10" s="38" t="s">
        <v>120</v>
      </c>
    </row>
    <row r="11" spans="1:83" ht="15" customHeight="1" x14ac:dyDescent="0.2">
      <c r="A11" s="56"/>
      <c r="B11" s="41">
        <v>1</v>
      </c>
      <c r="C11" s="37" t="str">
        <f t="shared" si="4"/>
        <v>23</v>
      </c>
      <c r="D11" s="18">
        <v>7</v>
      </c>
      <c r="E11" s="19" t="s">
        <v>95</v>
      </c>
      <c r="F11" s="19" t="s">
        <v>17</v>
      </c>
      <c r="G11" s="19" t="s">
        <v>15</v>
      </c>
      <c r="H11" s="20">
        <v>2</v>
      </c>
      <c r="I11" s="20">
        <v>1</v>
      </c>
      <c r="J11" s="20">
        <v>1</v>
      </c>
      <c r="K11" s="20" t="s">
        <v>96</v>
      </c>
      <c r="L11" s="21"/>
      <c r="M11" s="22" t="s">
        <v>2</v>
      </c>
      <c r="N11" s="22" t="s">
        <v>22</v>
      </c>
      <c r="O11" s="22"/>
      <c r="P11" s="19" t="s">
        <v>7</v>
      </c>
      <c r="Q11" s="19" t="s">
        <v>7</v>
      </c>
      <c r="R11" s="19"/>
      <c r="S11" s="86"/>
      <c r="T11" s="23">
        <v>337</v>
      </c>
      <c r="U11" s="24">
        <v>54.5</v>
      </c>
      <c r="V11" s="24"/>
      <c r="W11" s="24">
        <v>3.65</v>
      </c>
      <c r="X11" s="24">
        <v>-18</v>
      </c>
      <c r="Y11" s="24"/>
      <c r="Z11" s="25">
        <f t="shared" ref="Z11:AB15" si="7">GetReferenceTemperature(M11,"AV2011")</f>
        <v>5</v>
      </c>
      <c r="AA11" s="25">
        <f t="shared" si="7"/>
        <v>-18</v>
      </c>
      <c r="AB11" s="25" t="str">
        <f t="shared" si="7"/>
        <v/>
      </c>
      <c r="AC11" s="53"/>
      <c r="AD11" s="24">
        <v>175</v>
      </c>
      <c r="AE11" s="24">
        <v>18</v>
      </c>
      <c r="AF11" s="24"/>
      <c r="AG11" s="25">
        <f>EnergyLabel("AV2011",AD11:AF11,M11:O11,P11:R11,F11,E11,D11,T11,0)</f>
        <v>307.72800000000001</v>
      </c>
      <c r="AH11" s="25">
        <f>EnergyLabel("EI2011",AD11:AF11,M11:O11,P11:R11,F11,E11,D11,T11*365/1000,0)</f>
        <v>22.690268131546908</v>
      </c>
      <c r="AI11" s="74"/>
      <c r="AJ11" s="25">
        <f t="shared" ref="AJ11:AL15" si="8">GetReferenceTemperature(M11,"AV_NG")</f>
        <v>4</v>
      </c>
      <c r="AK11" s="25">
        <f t="shared" si="8"/>
        <v>-18</v>
      </c>
      <c r="AL11" s="25" t="str">
        <f t="shared" si="8"/>
        <v/>
      </c>
      <c r="AM11" s="70">
        <v>175</v>
      </c>
      <c r="AN11" s="70">
        <v>18</v>
      </c>
      <c r="AO11" s="24"/>
      <c r="AP11" s="42">
        <f t="shared" ref="AP11:AR15" si="9">IF(AND(ISNUMBER(AM11),ISNUMBER(AD11)),(AM11-AD11)/AD11*100,"")</f>
        <v>0</v>
      </c>
      <c r="AQ11" s="42">
        <f t="shared" si="9"/>
        <v>0</v>
      </c>
      <c r="AR11" s="42" t="str">
        <f t="shared" si="9"/>
        <v/>
      </c>
      <c r="AS11" s="74"/>
      <c r="AT11" s="24">
        <v>218</v>
      </c>
      <c r="AU11" s="24">
        <v>23.8</v>
      </c>
      <c r="AV11" s="24"/>
      <c r="AW11" s="24">
        <v>4</v>
      </c>
      <c r="AX11" s="24">
        <v>-19.2</v>
      </c>
      <c r="AY11" s="24"/>
      <c r="AZ11" s="74"/>
      <c r="BA11" s="24">
        <v>506</v>
      </c>
      <c r="BB11" s="43">
        <v>61</v>
      </c>
      <c r="BC11" s="43"/>
      <c r="BD11" s="43">
        <v>4</v>
      </c>
      <c r="BE11" s="43">
        <v>-19.7</v>
      </c>
      <c r="BF11" s="43"/>
      <c r="BG11" s="78">
        <f t="shared" ref="BG11:BG35" si="10">f_Cons*AT11+(1-f_Cons)*BA11</f>
        <v>380</v>
      </c>
      <c r="BH11" s="121">
        <f t="shared" ref="BH11:BH34" si="11">IF(AND(ISNUMBER(BG11),ISNUMBER(T11)),(BG11-T11)/T11*100,"not complete")</f>
        <v>12.759643916913946</v>
      </c>
      <c r="BI11" s="25">
        <f>EnergyLabel("AV_NG",AM11:AO11,M11:O11,P11:R11,F11,E11,D11,T11, f_Cons)</f>
        <v>305.07428571428568</v>
      </c>
      <c r="BJ11" s="42">
        <f>IF(AND(ISNUMBER(BI11),ISNUMBER(AG11)),(BI11-AG11)/AG11*100,"")</f>
        <v>-0.8623571094324628</v>
      </c>
      <c r="BK11" s="42">
        <f>EnergyLabel("EI_NG",AM11:AO11,M11:O11,P11:R11,F11,E11,D11,BG11*365/1000,f_Cons)</f>
        <v>25.683153362385845</v>
      </c>
      <c r="BL11" s="44">
        <f>IF(AND(ISNUMBER(BK11),ISNUMBER(AH11)),(BK11-AH11)/AH11*100,"not complete")</f>
        <v>13.190171281748079</v>
      </c>
      <c r="BO11" s="38">
        <f t="shared" ref="BO11:BO35" si="12">C11+0</f>
        <v>23</v>
      </c>
      <c r="BS11" s="38">
        <f t="shared" si="3"/>
        <v>5</v>
      </c>
      <c r="BU11" s="82">
        <f>AX11</f>
        <v>-19.2</v>
      </c>
      <c r="BV11" s="82">
        <f>BE11</f>
        <v>-19.7</v>
      </c>
      <c r="BW11" s="82">
        <f>AT11</f>
        <v>218</v>
      </c>
      <c r="BX11" s="82">
        <f>BA11</f>
        <v>506</v>
      </c>
      <c r="BZ11" s="117">
        <f t="shared" ref="BZ11:BZ35" si="13">AT11/BA11</f>
        <v>0.43083003952569171</v>
      </c>
      <c r="CA11" s="34" t="str">
        <f t="shared" ref="CA11:CA35" si="14">IF(W11&lt;5,TEXT(W11,"0.0"),TEXT(X11,"0.0"))</f>
        <v>3.7</v>
      </c>
      <c r="CC11" s="82">
        <f t="shared" ref="CC11:CC35" si="15">IF(AND(BU11&gt;-20,BZ11&lt;0.55),BH11,"")</f>
        <v>12.759643916913946</v>
      </c>
    </row>
    <row r="12" spans="1:83" ht="15" customHeight="1" x14ac:dyDescent="0.2">
      <c r="A12" s="56"/>
      <c r="B12" s="41">
        <v>2</v>
      </c>
      <c r="C12" s="37" t="str">
        <f t="shared" si="4"/>
        <v>31</v>
      </c>
      <c r="D12" s="18">
        <v>7</v>
      </c>
      <c r="E12" s="19" t="s">
        <v>95</v>
      </c>
      <c r="F12" s="19" t="s">
        <v>16</v>
      </c>
      <c r="G12" s="19" t="s">
        <v>15</v>
      </c>
      <c r="H12" s="20">
        <v>2</v>
      </c>
      <c r="I12" s="20">
        <v>1</v>
      </c>
      <c r="J12" s="20">
        <v>1</v>
      </c>
      <c r="K12" s="20" t="s">
        <v>94</v>
      </c>
      <c r="L12" s="21"/>
      <c r="M12" s="22" t="s">
        <v>22</v>
      </c>
      <c r="N12" s="22" t="s">
        <v>2</v>
      </c>
      <c r="O12" s="22"/>
      <c r="P12" s="19" t="s">
        <v>7</v>
      </c>
      <c r="Q12" s="19" t="s">
        <v>7</v>
      </c>
      <c r="R12" s="19"/>
      <c r="S12" s="86"/>
      <c r="T12" s="23">
        <v>442</v>
      </c>
      <c r="U12" s="24">
        <v>33</v>
      </c>
      <c r="V12" s="24"/>
      <c r="W12" s="24">
        <v>5</v>
      </c>
      <c r="X12" s="24">
        <v>-18.5</v>
      </c>
      <c r="Y12" s="24"/>
      <c r="Z12" s="25">
        <f t="shared" si="7"/>
        <v>-18</v>
      </c>
      <c r="AA12" s="25">
        <f t="shared" si="7"/>
        <v>5</v>
      </c>
      <c r="AB12" s="25" t="str">
        <f t="shared" si="7"/>
        <v/>
      </c>
      <c r="AC12" s="53"/>
      <c r="AD12" s="24">
        <v>16</v>
      </c>
      <c r="AE12" s="24">
        <v>180</v>
      </c>
      <c r="AF12" s="24"/>
      <c r="AG12" s="25">
        <f>EnergyLabel("AV2011",AD12:AF12,M12:O12,P12:R12,F12,E12,D12,T12,0)</f>
        <v>283.00800000000004</v>
      </c>
      <c r="AH12" s="25">
        <f>EnergyLabel("EI2011",AD12:AF12,M12:O12,P12:R12,F12,E12,D12,T12*365/1000,0)</f>
        <v>30.85309981837807</v>
      </c>
      <c r="AI12" s="74"/>
      <c r="AJ12" s="25">
        <f t="shared" si="8"/>
        <v>-18</v>
      </c>
      <c r="AK12" s="25">
        <f t="shared" si="8"/>
        <v>4</v>
      </c>
      <c r="AL12" s="25" t="str">
        <f t="shared" si="8"/>
        <v/>
      </c>
      <c r="AM12" s="70">
        <v>16</v>
      </c>
      <c r="AN12" s="70">
        <v>180</v>
      </c>
      <c r="AO12" s="24"/>
      <c r="AP12" s="42">
        <f t="shared" si="9"/>
        <v>0</v>
      </c>
      <c r="AQ12" s="42">
        <f t="shared" si="9"/>
        <v>0</v>
      </c>
      <c r="AR12" s="42" t="str">
        <f t="shared" si="9"/>
        <v/>
      </c>
      <c r="AS12" s="74"/>
      <c r="AT12" s="24">
        <v>413</v>
      </c>
      <c r="AU12" s="24">
        <v>25</v>
      </c>
      <c r="AV12" s="24"/>
      <c r="AW12" s="24">
        <v>4</v>
      </c>
      <c r="AX12" s="24">
        <v>-20.6</v>
      </c>
      <c r="AY12" s="24"/>
      <c r="AZ12" s="74"/>
      <c r="BA12" s="24">
        <v>729</v>
      </c>
      <c r="BB12" s="43">
        <v>57</v>
      </c>
      <c r="BC12" s="43"/>
      <c r="BD12" s="43">
        <v>4</v>
      </c>
      <c r="BE12" s="43">
        <v>-22.4</v>
      </c>
      <c r="BF12" s="43"/>
      <c r="BG12" s="78">
        <f t="shared" si="10"/>
        <v>590.75</v>
      </c>
      <c r="BH12" s="121">
        <f t="shared" si="11"/>
        <v>33.653846153846153</v>
      </c>
      <c r="BI12" s="25">
        <f>EnergyLabel("AV_NG",AM12:AO12,M12:O12,P12:R12,F12,E12,D12,T12, f_Cons)</f>
        <v>280.84571428571428</v>
      </c>
      <c r="BJ12" s="42">
        <f>IF(AND(ISNUMBER(BI12),ISNUMBER(AG12)),(BI12-AG12)/AG12*100,"")</f>
        <v>-0.76403695806682426</v>
      </c>
      <c r="BK12" s="42">
        <f>EnergyLabel("EI_NG",AM12:AO12,M12:O12,P12:R12,F12,E12,D12,BG12*365/1000,f_Cons)</f>
        <v>41.369276204895186</v>
      </c>
      <c r="BL12" s="44">
        <f>IF(AND(ISNUMBER(BK12),ISNUMBER(AH12)),(BK12-AH12)/AH12*100,"not complete")</f>
        <v>34.08466717581814</v>
      </c>
      <c r="BO12" s="38">
        <f t="shared" si="12"/>
        <v>31</v>
      </c>
      <c r="BS12" s="38">
        <f t="shared" si="3"/>
        <v>5</v>
      </c>
      <c r="BU12" s="82">
        <f>AX12</f>
        <v>-20.6</v>
      </c>
      <c r="BV12" s="82">
        <f>BE12</f>
        <v>-22.4</v>
      </c>
      <c r="BW12" s="82">
        <f>AT12</f>
        <v>413</v>
      </c>
      <c r="BX12" s="82">
        <f>BA12</f>
        <v>729</v>
      </c>
      <c r="BZ12" s="118">
        <f t="shared" si="13"/>
        <v>0.56652949245541839</v>
      </c>
      <c r="CA12" s="34" t="str">
        <f t="shared" si="14"/>
        <v>-18.5</v>
      </c>
      <c r="CC12" s="82" t="str">
        <f t="shared" si="15"/>
        <v/>
      </c>
      <c r="CE12" s="34">
        <f>0.65/1.35</f>
        <v>0.48148148148148145</v>
      </c>
    </row>
    <row r="13" spans="1:83" ht="15" customHeight="1" x14ac:dyDescent="0.2">
      <c r="A13" s="56"/>
      <c r="B13" s="41">
        <v>3</v>
      </c>
      <c r="C13" s="37" t="str">
        <f t="shared" si="4"/>
        <v>33</v>
      </c>
      <c r="D13" s="18">
        <v>7</v>
      </c>
      <c r="E13" s="19" t="s">
        <v>94</v>
      </c>
      <c r="F13" s="19" t="s">
        <v>16</v>
      </c>
      <c r="G13" s="19" t="s">
        <v>15</v>
      </c>
      <c r="H13" s="20">
        <v>2</v>
      </c>
      <c r="I13" s="20">
        <v>1</v>
      </c>
      <c r="J13" s="20">
        <v>1</v>
      </c>
      <c r="K13" s="20" t="s">
        <v>94</v>
      </c>
      <c r="L13" s="21" t="s">
        <v>82</v>
      </c>
      <c r="M13" s="22" t="s">
        <v>2</v>
      </c>
      <c r="N13" s="22" t="s">
        <v>22</v>
      </c>
      <c r="O13" s="22"/>
      <c r="P13" s="19" t="s">
        <v>7</v>
      </c>
      <c r="Q13" s="19" t="s">
        <v>7</v>
      </c>
      <c r="R13" s="19"/>
      <c r="S13" s="86"/>
      <c r="T13" s="23">
        <v>376</v>
      </c>
      <c r="U13" s="24"/>
      <c r="V13" s="24"/>
      <c r="W13" s="24">
        <v>5</v>
      </c>
      <c r="X13" s="24">
        <v>-18.899999999999999</v>
      </c>
      <c r="Y13" s="24"/>
      <c r="Z13" s="25">
        <f t="shared" si="7"/>
        <v>5</v>
      </c>
      <c r="AA13" s="25">
        <f t="shared" si="7"/>
        <v>-18</v>
      </c>
      <c r="AB13" s="25" t="str">
        <f t="shared" si="7"/>
        <v/>
      </c>
      <c r="AC13" s="53"/>
      <c r="AD13" s="24">
        <v>108</v>
      </c>
      <c r="AE13" s="24">
        <v>14</v>
      </c>
      <c r="AF13" s="24"/>
      <c r="AG13" s="25">
        <f>EnergyLabel("AV2011",AD13:AF13,M13:O13,P13:R13,F13,E13,D13,T13,0)</f>
        <v>151.91000000000003</v>
      </c>
      <c r="AH13" s="25">
        <f>EnergyLabel("EI2011",AD13:AF13,M13:O13,P13:R13,F13,E13,D13,T13*365/1000,0)</f>
        <v>32.59593695113557</v>
      </c>
      <c r="AI13" s="74"/>
      <c r="AJ13" s="25">
        <f t="shared" si="8"/>
        <v>4</v>
      </c>
      <c r="AK13" s="25">
        <f t="shared" si="8"/>
        <v>-18</v>
      </c>
      <c r="AL13" s="25" t="str">
        <f t="shared" si="8"/>
        <v/>
      </c>
      <c r="AM13" s="70">
        <v>109</v>
      </c>
      <c r="AN13" s="70">
        <v>14</v>
      </c>
      <c r="AO13" s="24"/>
      <c r="AP13" s="42">
        <f t="shared" si="9"/>
        <v>0.92592592592592582</v>
      </c>
      <c r="AQ13" s="42">
        <f t="shared" si="9"/>
        <v>0</v>
      </c>
      <c r="AR13" s="42" t="str">
        <f t="shared" si="9"/>
        <v/>
      </c>
      <c r="AS13" s="74"/>
      <c r="AT13" s="24">
        <v>659</v>
      </c>
      <c r="AU13" s="24"/>
      <c r="AV13" s="24"/>
      <c r="AW13" s="24">
        <v>4</v>
      </c>
      <c r="AX13" s="24">
        <v>-24.6</v>
      </c>
      <c r="AY13" s="24"/>
      <c r="AZ13" s="74"/>
      <c r="BA13" s="24">
        <v>657</v>
      </c>
      <c r="BB13" s="43"/>
      <c r="BC13" s="43"/>
      <c r="BD13" s="43">
        <v>4</v>
      </c>
      <c r="BE13" s="43">
        <v>-21</v>
      </c>
      <c r="BF13" s="43"/>
      <c r="BG13" s="78">
        <f t="shared" si="10"/>
        <v>657.875</v>
      </c>
      <c r="BH13" s="121">
        <f t="shared" si="11"/>
        <v>74.96675531914893</v>
      </c>
      <c r="BI13" s="25">
        <f>EnergyLabel("AV_NG",AM13:AO13,M13:O13,P13:R13,F13,E13,D13,T13, f_Cons)</f>
        <v>151.43333333333334</v>
      </c>
      <c r="BJ13" s="42">
        <f>IF(AND(ISNUMBER(BI13),ISNUMBER(AG13)),(BI13-AG13)/AG13*100,"")</f>
        <v>-0.31378228336955288</v>
      </c>
      <c r="BK13" s="42">
        <f>EnergyLabel("EI_NG",AM13:AO13,M13:O13,P13:R13,F13,E13,D13,BG13*365/1000,f_Cons)</f>
        <v>57.082266665747483</v>
      </c>
      <c r="BL13" s="44">
        <f>IF(AND(ISNUMBER(BK13),ISNUMBER(AH13)),(BK13-AH13)/AH13*100,"not complete")</f>
        <v>75.120803403563045</v>
      </c>
      <c r="BO13" s="38">
        <f t="shared" si="12"/>
        <v>33</v>
      </c>
      <c r="BR13" s="82">
        <f>AVERAGE(BH11:BH35)</f>
        <v>28.107230551704411</v>
      </c>
      <c r="BS13" s="38">
        <f t="shared" si="3"/>
        <v>5</v>
      </c>
      <c r="BU13" s="82">
        <f t="shared" ref="BU13:BU35" si="16">AX13</f>
        <v>-24.6</v>
      </c>
      <c r="BV13" s="82">
        <f t="shared" ref="BV13:BV35" si="17">BE13</f>
        <v>-21</v>
      </c>
      <c r="BW13" s="82">
        <f t="shared" ref="BW13:BW35" si="18">AT13</f>
        <v>659</v>
      </c>
      <c r="BX13" s="82">
        <f t="shared" ref="BX13:BX35" si="19">BA13</f>
        <v>657</v>
      </c>
      <c r="BZ13" s="118">
        <f t="shared" si="13"/>
        <v>1.0030441400304415</v>
      </c>
      <c r="CA13" s="34" t="str">
        <f t="shared" si="14"/>
        <v>-18.9</v>
      </c>
      <c r="CC13" s="82" t="str">
        <f t="shared" si="15"/>
        <v/>
      </c>
    </row>
    <row r="14" spans="1:83" ht="15" customHeight="1" x14ac:dyDescent="0.2">
      <c r="A14" s="56"/>
      <c r="B14" s="41">
        <v>4</v>
      </c>
      <c r="C14" s="37" t="str">
        <f t="shared" si="4"/>
        <v>33</v>
      </c>
      <c r="D14" s="18">
        <v>7</v>
      </c>
      <c r="E14" s="19" t="s">
        <v>94</v>
      </c>
      <c r="F14" s="19" t="s">
        <v>17</v>
      </c>
      <c r="G14" s="19" t="s">
        <v>15</v>
      </c>
      <c r="H14" s="20">
        <v>2</v>
      </c>
      <c r="I14" s="20">
        <v>1</v>
      </c>
      <c r="J14" s="20">
        <v>1</v>
      </c>
      <c r="K14" s="20" t="s">
        <v>94</v>
      </c>
      <c r="L14" s="21" t="s">
        <v>75</v>
      </c>
      <c r="M14" s="22" t="s">
        <v>2</v>
      </c>
      <c r="N14" s="22" t="s">
        <v>22</v>
      </c>
      <c r="O14" s="22"/>
      <c r="P14" s="19" t="s">
        <v>7</v>
      </c>
      <c r="Q14" s="19" t="s">
        <v>7</v>
      </c>
      <c r="R14" s="19"/>
      <c r="S14" s="86"/>
      <c r="T14" s="23">
        <v>626</v>
      </c>
      <c r="U14" s="24">
        <v>34.700000000000003</v>
      </c>
      <c r="V14" s="24"/>
      <c r="W14" s="24">
        <v>5</v>
      </c>
      <c r="X14" s="24">
        <v>-19.600000000000001</v>
      </c>
      <c r="Y14" s="24"/>
      <c r="Z14" s="25">
        <f t="shared" si="7"/>
        <v>5</v>
      </c>
      <c r="AA14" s="25">
        <f t="shared" si="7"/>
        <v>-18</v>
      </c>
      <c r="AB14" s="25" t="str">
        <f t="shared" si="7"/>
        <v/>
      </c>
      <c r="AC14" s="53"/>
      <c r="AD14" s="24">
        <v>215</v>
      </c>
      <c r="AE14" s="24">
        <v>94</v>
      </c>
      <c r="AF14" s="24"/>
      <c r="AG14" s="25">
        <f>EnergyLabel("AV2011",AD14:AF14,M14:O14,P14:R14,F14,E14,D14,T14,0)</f>
        <v>500.52</v>
      </c>
      <c r="AH14" s="25">
        <f>EnergyLabel("EI2011",AD14:AF14,M14:O14,P14:R14,F14,E14,D14,T14*365/1000,0)</f>
        <v>33.023365494440533</v>
      </c>
      <c r="AI14" s="74"/>
      <c r="AJ14" s="25">
        <f t="shared" si="8"/>
        <v>4</v>
      </c>
      <c r="AK14" s="25">
        <f t="shared" si="8"/>
        <v>-18</v>
      </c>
      <c r="AL14" s="25" t="str">
        <f t="shared" si="8"/>
        <v/>
      </c>
      <c r="AM14" s="24">
        <v>215</v>
      </c>
      <c r="AN14" s="24">
        <v>94</v>
      </c>
      <c r="AO14" s="24"/>
      <c r="AP14" s="42">
        <f t="shared" si="9"/>
        <v>0</v>
      </c>
      <c r="AQ14" s="42">
        <f t="shared" si="9"/>
        <v>0</v>
      </c>
      <c r="AR14" s="42" t="str">
        <f t="shared" si="9"/>
        <v/>
      </c>
      <c r="AS14" s="74"/>
      <c r="AT14" s="24">
        <v>586</v>
      </c>
      <c r="AU14" s="24">
        <v>33</v>
      </c>
      <c r="AV14" s="24"/>
      <c r="AW14" s="24">
        <v>4</v>
      </c>
      <c r="AX14" s="24">
        <v>-25.6</v>
      </c>
      <c r="AY14" s="24"/>
      <c r="AZ14" s="74"/>
      <c r="BA14" s="24">
        <v>937</v>
      </c>
      <c r="BB14" s="43">
        <v>53.3</v>
      </c>
      <c r="BC14" s="43"/>
      <c r="BD14" s="43">
        <v>4</v>
      </c>
      <c r="BE14" s="43">
        <v>-23.2</v>
      </c>
      <c r="BF14" s="43"/>
      <c r="BG14" s="78">
        <f t="shared" si="10"/>
        <v>783.4375</v>
      </c>
      <c r="BH14" s="121">
        <f t="shared" si="11"/>
        <v>25.149760383386582</v>
      </c>
      <c r="BI14" s="25">
        <f>EnergyLabel("AV_NG",AM14:AO14,M14:O14,P14:R14,F14,E14,D14,T14, f_Cons)</f>
        <v>488.97142857142853</v>
      </c>
      <c r="BJ14" s="42">
        <f>IF(AND(ISNUMBER(BI14),ISNUMBER(AG14)),(BI14-AG14)/AG14*100,"")</f>
        <v>-2.3073146784487033</v>
      </c>
      <c r="BK14" s="42">
        <f>EnergyLabel("EI_NG",AM14:AO14,M14:O14,P14:R14,F14,E14,D14,BG14*365/1000,f_Cons)</f>
        <v>41.871692929942533</v>
      </c>
      <c r="BL14" s="44">
        <f>IF(AND(ISNUMBER(BK14),ISNUMBER(AH14)),(BK14-AH14)/AH14*100,"not complete")</f>
        <v>26.794141974995284</v>
      </c>
      <c r="BO14" s="38">
        <f t="shared" si="12"/>
        <v>33</v>
      </c>
      <c r="BR14" s="82"/>
      <c r="BS14" s="38">
        <f t="shared" si="3"/>
        <v>5</v>
      </c>
      <c r="BU14" s="82">
        <f t="shared" si="16"/>
        <v>-25.6</v>
      </c>
      <c r="BV14" s="82">
        <f t="shared" si="17"/>
        <v>-23.2</v>
      </c>
      <c r="BW14" s="82">
        <f t="shared" si="18"/>
        <v>586</v>
      </c>
      <c r="BX14" s="82">
        <f t="shared" si="19"/>
        <v>937</v>
      </c>
      <c r="BZ14" s="118">
        <f t="shared" si="13"/>
        <v>0.62540021344717178</v>
      </c>
      <c r="CA14" s="34" t="str">
        <f t="shared" si="14"/>
        <v>-19.6</v>
      </c>
      <c r="CC14" s="82" t="str">
        <f t="shared" si="15"/>
        <v/>
      </c>
    </row>
    <row r="15" spans="1:83" ht="15" customHeight="1" x14ac:dyDescent="0.2">
      <c r="A15" s="56"/>
      <c r="B15" s="41">
        <v>5</v>
      </c>
      <c r="C15" s="37" t="str">
        <f t="shared" si="4"/>
        <v>36</v>
      </c>
      <c r="D15" s="18">
        <v>7</v>
      </c>
      <c r="E15" s="19" t="s">
        <v>94</v>
      </c>
      <c r="F15" s="19" t="s">
        <v>16</v>
      </c>
      <c r="G15" s="19" t="s">
        <v>15</v>
      </c>
      <c r="H15" s="20">
        <v>2</v>
      </c>
      <c r="I15" s="20">
        <v>1</v>
      </c>
      <c r="J15" s="20">
        <v>1</v>
      </c>
      <c r="K15" s="20" t="s">
        <v>94</v>
      </c>
      <c r="L15" s="21" t="s">
        <v>79</v>
      </c>
      <c r="M15" s="22" t="s">
        <v>2</v>
      </c>
      <c r="N15" s="22" t="s">
        <v>22</v>
      </c>
      <c r="O15" s="22"/>
      <c r="P15" s="19" t="s">
        <v>7</v>
      </c>
      <c r="Q15" s="19" t="s">
        <v>7</v>
      </c>
      <c r="R15" s="19"/>
      <c r="S15" s="86"/>
      <c r="T15" s="23">
        <v>593</v>
      </c>
      <c r="U15" s="24">
        <f>T15*0.365</f>
        <v>216.44499999999999</v>
      </c>
      <c r="V15" s="24"/>
      <c r="W15" s="24">
        <v>3.72</v>
      </c>
      <c r="X15" s="24">
        <v>-18</v>
      </c>
      <c r="Y15" s="24"/>
      <c r="Z15" s="25">
        <f t="shared" si="7"/>
        <v>5</v>
      </c>
      <c r="AA15" s="25">
        <f t="shared" si="7"/>
        <v>-18</v>
      </c>
      <c r="AB15" s="25" t="str">
        <f t="shared" si="7"/>
        <v/>
      </c>
      <c r="AC15" s="53"/>
      <c r="AD15" s="24">
        <v>215</v>
      </c>
      <c r="AE15" s="24">
        <v>63</v>
      </c>
      <c r="AF15" s="24"/>
      <c r="AG15" s="25">
        <f>EnergyLabel("AV2011",AD15:AF15,M15:O15,P15:R15,F15,E15,D15,T15,0)</f>
        <v>385.495</v>
      </c>
      <c r="AH15" s="25">
        <f>EnergyLabel("EI2011",AD15:AF15,M15:O15,P15:R15,F15,E15,D15,T15*365/1000,0)</f>
        <v>35.922715599630727</v>
      </c>
      <c r="AI15" s="74"/>
      <c r="AJ15" s="25">
        <f t="shared" si="8"/>
        <v>4</v>
      </c>
      <c r="AK15" s="25">
        <f t="shared" si="8"/>
        <v>-18</v>
      </c>
      <c r="AL15" s="25" t="str">
        <f t="shared" si="8"/>
        <v/>
      </c>
      <c r="AM15" s="24">
        <v>217</v>
      </c>
      <c r="AN15" s="24">
        <v>63</v>
      </c>
      <c r="AO15" s="24"/>
      <c r="AP15" s="42">
        <f t="shared" si="9"/>
        <v>0.93023255813953487</v>
      </c>
      <c r="AQ15" s="42">
        <f t="shared" si="9"/>
        <v>0</v>
      </c>
      <c r="AR15" s="42" t="str">
        <f t="shared" si="9"/>
        <v/>
      </c>
      <c r="AS15" s="74"/>
      <c r="AT15" s="24">
        <v>312</v>
      </c>
      <c r="AU15" s="24"/>
      <c r="AV15" s="24"/>
      <c r="AW15" s="24">
        <v>4</v>
      </c>
      <c r="AX15" s="24">
        <v>-18.5</v>
      </c>
      <c r="AY15" s="24"/>
      <c r="AZ15" s="74"/>
      <c r="BA15" s="24">
        <v>931</v>
      </c>
      <c r="BB15" s="43"/>
      <c r="BC15" s="43"/>
      <c r="BD15" s="43">
        <v>4</v>
      </c>
      <c r="BE15" s="43">
        <v>-20.5</v>
      </c>
      <c r="BF15" s="43"/>
      <c r="BG15" s="78">
        <f t="shared" si="10"/>
        <v>660.1875</v>
      </c>
      <c r="BH15" s="121">
        <f t="shared" si="11"/>
        <v>11.330101180438449</v>
      </c>
      <c r="BI15" s="25">
        <f>EnergyLabel("AV_NG",AM15:AO15,M15:O15,P15:R15,F15,E15,D15,T15, f_Cons)</f>
        <v>380.6</v>
      </c>
      <c r="BJ15" s="42">
        <f>IF(AND(ISNUMBER(BI15),ISNUMBER(AG15)),(BI15-AG15)/AG15*100,"")</f>
        <v>-1.2697959766015077</v>
      </c>
      <c r="BK15" s="42">
        <f>EnergyLabel("EI_NG",AM15:AO15,M15:O15,P15:R15,F15,E15,D15,BG15*365/1000,f_Cons)</f>
        <v>40.246850313214949</v>
      </c>
      <c r="BL15" s="44">
        <f>IF(AND(ISNUMBER(BK15),ISNUMBER(AH15)),(BK15-AH15)/AH15*100,"not complete")</f>
        <v>12.037326915308908</v>
      </c>
      <c r="BO15" s="38">
        <f t="shared" si="12"/>
        <v>36</v>
      </c>
      <c r="BS15" s="38">
        <f t="shared" si="3"/>
        <v>5</v>
      </c>
      <c r="BU15" s="82">
        <f t="shared" si="16"/>
        <v>-18.5</v>
      </c>
      <c r="BV15" s="82">
        <f t="shared" si="17"/>
        <v>-20.5</v>
      </c>
      <c r="BW15" s="82">
        <f t="shared" si="18"/>
        <v>312</v>
      </c>
      <c r="BX15" s="82">
        <f t="shared" si="19"/>
        <v>931</v>
      </c>
      <c r="BZ15" s="118">
        <f t="shared" si="13"/>
        <v>0.33512352309344789</v>
      </c>
      <c r="CA15" s="34" t="str">
        <f t="shared" si="14"/>
        <v>3.7</v>
      </c>
      <c r="CC15" s="82">
        <f t="shared" si="15"/>
        <v>11.330101180438449</v>
      </c>
    </row>
    <row r="16" spans="1:83" ht="15" customHeight="1" x14ac:dyDescent="0.2">
      <c r="A16" s="56"/>
      <c r="B16" s="41">
        <v>6</v>
      </c>
      <c r="C16" s="37" t="str">
        <f t="shared" si="4"/>
        <v>28</v>
      </c>
      <c r="D16" s="46">
        <v>7</v>
      </c>
      <c r="E16" s="47" t="s">
        <v>95</v>
      </c>
      <c r="F16" s="47" t="s">
        <v>16</v>
      </c>
      <c r="G16" s="47" t="s">
        <v>15</v>
      </c>
      <c r="H16" s="48">
        <v>2</v>
      </c>
      <c r="I16" s="48">
        <v>1</v>
      </c>
      <c r="J16" s="48">
        <v>1</v>
      </c>
      <c r="K16" s="48" t="s">
        <v>94</v>
      </c>
      <c r="L16" s="49"/>
      <c r="M16" s="50" t="s">
        <v>2</v>
      </c>
      <c r="N16" s="50" t="s">
        <v>22</v>
      </c>
      <c r="O16" s="50"/>
      <c r="P16" s="47" t="s">
        <v>7</v>
      </c>
      <c r="Q16" s="47" t="s">
        <v>7</v>
      </c>
      <c r="R16" s="47"/>
      <c r="S16" s="86"/>
      <c r="T16" s="23">
        <v>371</v>
      </c>
      <c r="U16" s="24"/>
      <c r="V16" s="24"/>
      <c r="W16" s="24">
        <v>5</v>
      </c>
      <c r="X16" s="24">
        <v>-18.399999999999999</v>
      </c>
      <c r="Y16" s="24"/>
      <c r="Z16" s="25">
        <f t="shared" ref="Z16:Z35" si="20">GetReferenceTemperature(M16,"AV2011")</f>
        <v>5</v>
      </c>
      <c r="AA16" s="25">
        <f t="shared" ref="AA16:AA35" si="21">GetReferenceTemperature(N16,"AV2011")</f>
        <v>-18</v>
      </c>
      <c r="AB16" s="25" t="str">
        <f t="shared" ref="AB16:AB35" si="22">GetReferenceTemperature(O16,"AV2011")</f>
        <v/>
      </c>
      <c r="AC16" s="53">
        <v>33</v>
      </c>
      <c r="AD16" s="24">
        <v>139</v>
      </c>
      <c r="AE16" s="24">
        <v>15</v>
      </c>
      <c r="AF16" s="24"/>
      <c r="AG16" s="25">
        <f t="shared" ref="AG16:AG34" si="23">EnergyLabel("AV2011",AD16:AF16,M16:O16,P16:R16,F16,E16,D16,T16,0)</f>
        <v>226.04999999999998</v>
      </c>
      <c r="AH16" s="25">
        <f t="shared" ref="AH16:AH34" si="24">EnergyLabel("EI2011",AD16:AF16,M16:O16,P16:R16,F16,E16,D16,T16*365/1000,0)</f>
        <v>28.291567675429288</v>
      </c>
      <c r="AI16" s="74"/>
      <c r="AJ16" s="25">
        <f t="shared" ref="AJ16:AJ34" si="25">GetReferenceTemperature(M16,"AV_NG")</f>
        <v>4</v>
      </c>
      <c r="AK16" s="25">
        <f t="shared" ref="AK16:AK35" si="26">GetReferenceTemperature(N16,"AV_NG")</f>
        <v>-18</v>
      </c>
      <c r="AL16" s="25" t="str">
        <f t="shared" ref="AL16:AL35" si="27">GetReferenceTemperature(O16,"AV_NG")</f>
        <v/>
      </c>
      <c r="AM16" s="24">
        <v>141</v>
      </c>
      <c r="AN16" s="24">
        <v>16</v>
      </c>
      <c r="AO16" s="24"/>
      <c r="AP16" s="42">
        <f t="shared" ref="AP16:AP35" si="28">IF(AND(ISNUMBER(AM16),ISNUMBER(AD16)),(AM16-AD16)/AD16*100,"")</f>
        <v>1.4388489208633095</v>
      </c>
      <c r="AQ16" s="42">
        <f t="shared" ref="AQ16:AQ35" si="29">IF(AND(ISNUMBER(AN16),ISNUMBER(AE16)),(AN16-AE16)/AE16*100,"")</f>
        <v>6.666666666666667</v>
      </c>
      <c r="AR16" s="42" t="str">
        <f t="shared" ref="AR16:AR35" si="30">IF(AND(ISNUMBER(AO16),ISNUMBER(AF16)),(AO16-AF16)/AF16*100,"")</f>
        <v/>
      </c>
      <c r="AS16" s="74"/>
      <c r="AT16" s="24">
        <v>425</v>
      </c>
      <c r="AU16" s="24"/>
      <c r="AV16" s="24"/>
      <c r="AW16" s="24">
        <v>4</v>
      </c>
      <c r="AX16" s="24">
        <v>-21.5</v>
      </c>
      <c r="AY16" s="24"/>
      <c r="AZ16" s="74"/>
      <c r="BA16" s="24">
        <v>590</v>
      </c>
      <c r="BB16" s="43"/>
      <c r="BC16" s="43"/>
      <c r="BD16" s="43">
        <v>4</v>
      </c>
      <c r="BE16" s="43">
        <v>-20.7</v>
      </c>
      <c r="BF16" s="43"/>
      <c r="BG16" s="78">
        <f t="shared" si="10"/>
        <v>517.8125</v>
      </c>
      <c r="BH16" s="121">
        <f t="shared" si="11"/>
        <v>39.572102425876011</v>
      </c>
      <c r="BI16" s="25">
        <f t="shared" ref="BI16:BI34" si="31">EnergyLabel("AV_NG",AM16:AO16,M16:O16,P16:R16,F16,E16,D16,T16, f_Cons)</f>
        <v>229.36571428571432</v>
      </c>
      <c r="BJ16" s="42">
        <f t="shared" ref="BJ16:BJ35" si="32">IF(AND(ISNUMBER(BI16),ISNUMBER(AG16)),(BI16-AG16)/AG16*100,"")</f>
        <v>1.4668057003823649</v>
      </c>
      <c r="BK16" s="42">
        <f t="shared" ref="BK16:BK34" si="33">EnergyLabel("EI_NG",AM16:AO16,M16:O16,P16:R16,F16,E16,D16,BG16*365/1000,f_Cons)</f>
        <v>39.275732083203351</v>
      </c>
      <c r="BL16" s="44">
        <f t="shared" ref="BL16:BL35" si="34">IF(AND(ISNUMBER(BK16),ISNUMBER(AH16)),(BK16-AH16)/AH16*100,"not complete")</f>
        <v>38.824870130168186</v>
      </c>
      <c r="BO16" s="38">
        <f t="shared" si="12"/>
        <v>28</v>
      </c>
      <c r="BS16" s="38">
        <f t="shared" si="3"/>
        <v>5</v>
      </c>
      <c r="BU16" s="82">
        <f t="shared" si="16"/>
        <v>-21.5</v>
      </c>
      <c r="BV16" s="82">
        <f t="shared" si="17"/>
        <v>-20.7</v>
      </c>
      <c r="BW16" s="82">
        <f t="shared" si="18"/>
        <v>425</v>
      </c>
      <c r="BX16" s="82">
        <f t="shared" si="19"/>
        <v>590</v>
      </c>
      <c r="BZ16" s="118">
        <f t="shared" si="13"/>
        <v>0.72033898305084743</v>
      </c>
      <c r="CA16" s="34" t="str">
        <f t="shared" si="14"/>
        <v>-18.4</v>
      </c>
      <c r="CC16" s="82" t="str">
        <f t="shared" si="15"/>
        <v/>
      </c>
    </row>
    <row r="17" spans="1:81" ht="15" customHeight="1" x14ac:dyDescent="0.2">
      <c r="A17" s="56"/>
      <c r="B17" s="41">
        <v>7</v>
      </c>
      <c r="C17" s="37" t="str">
        <f t="shared" si="4"/>
        <v>22</v>
      </c>
      <c r="D17" s="46">
        <v>7</v>
      </c>
      <c r="E17" s="47" t="s">
        <v>95</v>
      </c>
      <c r="F17" s="47" t="s">
        <v>16</v>
      </c>
      <c r="G17" s="47" t="s">
        <v>15</v>
      </c>
      <c r="H17" s="48">
        <v>2</v>
      </c>
      <c r="I17" s="48">
        <v>1</v>
      </c>
      <c r="J17" s="48">
        <v>1</v>
      </c>
      <c r="K17" s="48" t="s">
        <v>96</v>
      </c>
      <c r="L17" s="49"/>
      <c r="M17" s="50" t="s">
        <v>2</v>
      </c>
      <c r="N17" s="50" t="s">
        <v>22</v>
      </c>
      <c r="O17" s="50"/>
      <c r="P17" s="47" t="s">
        <v>7</v>
      </c>
      <c r="Q17" s="47" t="s">
        <v>7</v>
      </c>
      <c r="R17" s="47"/>
      <c r="S17" s="86"/>
      <c r="T17" s="23">
        <v>355</v>
      </c>
      <c r="U17" s="24"/>
      <c r="V17" s="24"/>
      <c r="W17" s="24">
        <v>5</v>
      </c>
      <c r="X17" s="24">
        <v>-18.5</v>
      </c>
      <c r="Y17" s="24"/>
      <c r="Z17" s="25">
        <f t="shared" si="20"/>
        <v>5</v>
      </c>
      <c r="AA17" s="25">
        <f t="shared" si="21"/>
        <v>-18</v>
      </c>
      <c r="AB17" s="25" t="str">
        <f t="shared" si="22"/>
        <v/>
      </c>
      <c r="AC17" s="53">
        <v>55</v>
      </c>
      <c r="AD17" s="24">
        <v>214</v>
      </c>
      <c r="AE17" s="24">
        <v>34</v>
      </c>
      <c r="AF17" s="24"/>
      <c r="AG17" s="25">
        <f t="shared" si="23"/>
        <v>378.97199999999998</v>
      </c>
      <c r="AH17" s="25">
        <f t="shared" si="24"/>
        <v>21.6875992043427</v>
      </c>
      <c r="AI17" s="74"/>
      <c r="AJ17" s="25">
        <f t="shared" si="25"/>
        <v>4</v>
      </c>
      <c r="AK17" s="25">
        <f t="shared" si="26"/>
        <v>-18</v>
      </c>
      <c r="AL17" s="25" t="str">
        <f t="shared" si="27"/>
        <v/>
      </c>
      <c r="AM17" s="24">
        <v>217</v>
      </c>
      <c r="AN17" s="24">
        <v>36</v>
      </c>
      <c r="AO17" s="24"/>
      <c r="AP17" s="42">
        <f t="shared" si="28"/>
        <v>1.4018691588785046</v>
      </c>
      <c r="AQ17" s="42">
        <f t="shared" si="29"/>
        <v>5.8823529411764701</v>
      </c>
      <c r="AR17" s="42" t="str">
        <f t="shared" si="30"/>
        <v/>
      </c>
      <c r="AS17" s="74"/>
      <c r="AT17" s="24">
        <v>288</v>
      </c>
      <c r="AU17" s="24"/>
      <c r="AV17" s="24"/>
      <c r="AW17" s="24">
        <v>4</v>
      </c>
      <c r="AX17" s="24">
        <v>-20.100000000000001</v>
      </c>
      <c r="AY17" s="24"/>
      <c r="AZ17" s="74"/>
      <c r="BA17" s="24">
        <v>605</v>
      </c>
      <c r="BB17" s="43"/>
      <c r="BC17" s="43"/>
      <c r="BD17" s="43">
        <v>4</v>
      </c>
      <c r="BE17" s="43">
        <v>-22.3</v>
      </c>
      <c r="BF17" s="43"/>
      <c r="BG17" s="78">
        <f t="shared" si="10"/>
        <v>466.3125</v>
      </c>
      <c r="BH17" s="121">
        <f t="shared" si="11"/>
        <v>31.3556338028169</v>
      </c>
      <c r="BI17" s="25">
        <f t="shared" si="31"/>
        <v>383.74285714285713</v>
      </c>
      <c r="BJ17" s="42">
        <f t="shared" si="32"/>
        <v>1.258894362342641</v>
      </c>
      <c r="BK17" s="42">
        <f t="shared" si="33"/>
        <v>28.312219857936597</v>
      </c>
      <c r="BL17" s="44">
        <f t="shared" si="34"/>
        <v>30.545661560673764</v>
      </c>
      <c r="BO17" s="38">
        <f t="shared" si="12"/>
        <v>22</v>
      </c>
      <c r="BR17" s="82"/>
      <c r="BS17" s="38">
        <f t="shared" si="3"/>
        <v>5</v>
      </c>
      <c r="BU17" s="82">
        <f t="shared" si="16"/>
        <v>-20.100000000000001</v>
      </c>
      <c r="BV17" s="82">
        <f t="shared" si="17"/>
        <v>-22.3</v>
      </c>
      <c r="BW17" s="82">
        <f t="shared" si="18"/>
        <v>288</v>
      </c>
      <c r="BX17" s="82">
        <f t="shared" si="19"/>
        <v>605</v>
      </c>
      <c r="BZ17" s="118">
        <f t="shared" si="13"/>
        <v>0.47603305785123967</v>
      </c>
      <c r="CA17" s="34" t="str">
        <f t="shared" si="14"/>
        <v>-18.5</v>
      </c>
      <c r="CC17" s="82" t="str">
        <f t="shared" si="15"/>
        <v/>
      </c>
    </row>
    <row r="18" spans="1:81" ht="15" customHeight="1" x14ac:dyDescent="0.2">
      <c r="A18" s="56"/>
      <c r="B18" s="41">
        <v>8</v>
      </c>
      <c r="C18" s="37" t="str">
        <f t="shared" si="4"/>
        <v>31</v>
      </c>
      <c r="D18" s="46">
        <v>7</v>
      </c>
      <c r="E18" s="47" t="s">
        <v>94</v>
      </c>
      <c r="F18" s="47" t="s">
        <v>17</v>
      </c>
      <c r="G18" s="47" t="s">
        <v>15</v>
      </c>
      <c r="H18" s="48">
        <v>2</v>
      </c>
      <c r="I18" s="48">
        <v>1</v>
      </c>
      <c r="J18" s="48">
        <v>1</v>
      </c>
      <c r="K18" s="48" t="s">
        <v>94</v>
      </c>
      <c r="L18" s="49"/>
      <c r="M18" s="50" t="s">
        <v>2</v>
      </c>
      <c r="N18" s="50" t="s">
        <v>22</v>
      </c>
      <c r="O18" s="50"/>
      <c r="P18" s="47" t="s">
        <v>7</v>
      </c>
      <c r="Q18" s="47" t="s">
        <v>7</v>
      </c>
      <c r="R18" s="47"/>
      <c r="S18" s="86"/>
      <c r="T18" s="23">
        <v>531</v>
      </c>
      <c r="U18" s="24"/>
      <c r="V18" s="24"/>
      <c r="W18" s="24">
        <v>4.5999999999999996</v>
      </c>
      <c r="X18" s="24">
        <v>-18</v>
      </c>
      <c r="Y18" s="24"/>
      <c r="Z18" s="25">
        <f t="shared" si="20"/>
        <v>5</v>
      </c>
      <c r="AA18" s="25">
        <f t="shared" si="21"/>
        <v>-18</v>
      </c>
      <c r="AB18" s="25" t="str">
        <f t="shared" si="22"/>
        <v/>
      </c>
      <c r="AC18" s="53"/>
      <c r="AD18" s="24">
        <v>194</v>
      </c>
      <c r="AE18" s="24">
        <v>70</v>
      </c>
      <c r="AF18" s="24"/>
      <c r="AG18" s="25">
        <f t="shared" si="23"/>
        <v>413.4</v>
      </c>
      <c r="AH18" s="25">
        <f t="shared" si="24"/>
        <v>31.049557217598256</v>
      </c>
      <c r="AI18" s="74"/>
      <c r="AJ18" s="25">
        <f t="shared" si="25"/>
        <v>4</v>
      </c>
      <c r="AK18" s="25">
        <f t="shared" si="26"/>
        <v>-18</v>
      </c>
      <c r="AL18" s="25" t="str">
        <f t="shared" si="27"/>
        <v/>
      </c>
      <c r="AM18" s="24">
        <v>196</v>
      </c>
      <c r="AN18" s="24">
        <v>72</v>
      </c>
      <c r="AO18" s="24"/>
      <c r="AP18" s="42">
        <f t="shared" si="28"/>
        <v>1.0309278350515463</v>
      </c>
      <c r="AQ18" s="42">
        <f t="shared" si="29"/>
        <v>2.8571428571428572</v>
      </c>
      <c r="AR18" s="42" t="str">
        <f t="shared" si="30"/>
        <v/>
      </c>
      <c r="AS18" s="74"/>
      <c r="AT18" s="24">
        <v>521</v>
      </c>
      <c r="AU18" s="24">
        <v>25</v>
      </c>
      <c r="AV18" s="24"/>
      <c r="AW18" s="24">
        <v>4</v>
      </c>
      <c r="AX18" s="24">
        <v>-23.2</v>
      </c>
      <c r="AY18" s="24"/>
      <c r="AZ18" s="74"/>
      <c r="BA18" s="24">
        <v>867</v>
      </c>
      <c r="BB18" s="43">
        <v>44</v>
      </c>
      <c r="BC18" s="43"/>
      <c r="BD18" s="43">
        <v>4</v>
      </c>
      <c r="BE18" s="43">
        <v>-21.6</v>
      </c>
      <c r="BF18" s="43"/>
      <c r="BG18" s="78">
        <f t="shared" si="10"/>
        <v>715.625</v>
      </c>
      <c r="BH18" s="121">
        <f t="shared" si="11"/>
        <v>34.769303201506588</v>
      </c>
      <c r="BI18" s="25">
        <f t="shared" si="31"/>
        <v>412.11428571428564</v>
      </c>
      <c r="BJ18" s="42">
        <f t="shared" si="32"/>
        <v>-0.31100974497202094</v>
      </c>
      <c r="BK18" s="42">
        <f t="shared" si="33"/>
        <v>41.912349200786643</v>
      </c>
      <c r="BL18" s="44">
        <f t="shared" si="34"/>
        <v>34.985336206442192</v>
      </c>
      <c r="BO18" s="38">
        <f t="shared" si="12"/>
        <v>31</v>
      </c>
      <c r="BS18" s="38">
        <f t="shared" si="3"/>
        <v>5</v>
      </c>
      <c r="BU18" s="82">
        <f t="shared" si="16"/>
        <v>-23.2</v>
      </c>
      <c r="BV18" s="82">
        <f t="shared" si="17"/>
        <v>-21.6</v>
      </c>
      <c r="BW18" s="82">
        <f t="shared" si="18"/>
        <v>521</v>
      </c>
      <c r="BX18" s="82">
        <f t="shared" si="19"/>
        <v>867</v>
      </c>
      <c r="BZ18" s="118">
        <f t="shared" si="13"/>
        <v>0.60092272202998842</v>
      </c>
      <c r="CA18" s="34" t="str">
        <f t="shared" si="14"/>
        <v>4.6</v>
      </c>
      <c r="CC18" s="82" t="str">
        <f t="shared" si="15"/>
        <v/>
      </c>
    </row>
    <row r="19" spans="1:81" ht="15" customHeight="1" x14ac:dyDescent="0.2">
      <c r="A19" s="56"/>
      <c r="B19" s="41">
        <v>9</v>
      </c>
      <c r="C19" s="37" t="str">
        <f t="shared" si="4"/>
        <v>33</v>
      </c>
      <c r="D19" s="46">
        <v>7</v>
      </c>
      <c r="E19" s="47" t="s">
        <v>94</v>
      </c>
      <c r="F19" s="47" t="s">
        <v>17</v>
      </c>
      <c r="G19" s="47" t="s">
        <v>15</v>
      </c>
      <c r="H19" s="48">
        <v>2</v>
      </c>
      <c r="I19" s="48">
        <v>1</v>
      </c>
      <c r="J19" s="48">
        <v>1</v>
      </c>
      <c r="K19" s="48" t="s">
        <v>94</v>
      </c>
      <c r="L19" s="49"/>
      <c r="M19" s="50" t="s">
        <v>2</v>
      </c>
      <c r="N19" s="50" t="s">
        <v>22</v>
      </c>
      <c r="O19" s="50"/>
      <c r="P19" s="47" t="s">
        <v>7</v>
      </c>
      <c r="Q19" s="47" t="s">
        <v>7</v>
      </c>
      <c r="R19" s="47"/>
      <c r="S19" s="86"/>
      <c r="T19" s="23">
        <v>603</v>
      </c>
      <c r="U19" s="24"/>
      <c r="V19" s="24"/>
      <c r="W19" s="24">
        <v>3.3</v>
      </c>
      <c r="X19" s="24">
        <v>-18</v>
      </c>
      <c r="Y19" s="24"/>
      <c r="Z19" s="25">
        <f t="shared" si="20"/>
        <v>5</v>
      </c>
      <c r="AA19" s="25">
        <f t="shared" si="21"/>
        <v>-18</v>
      </c>
      <c r="AB19" s="25" t="str">
        <f t="shared" si="22"/>
        <v/>
      </c>
      <c r="AC19" s="53"/>
      <c r="AD19" s="24">
        <v>230</v>
      </c>
      <c r="AE19" s="24">
        <v>70</v>
      </c>
      <c r="AF19" s="24"/>
      <c r="AG19" s="25">
        <f t="shared" si="23"/>
        <v>456.6</v>
      </c>
      <c r="AH19" s="25">
        <f t="shared" si="24"/>
        <v>33.46036703557521</v>
      </c>
      <c r="AI19" s="74"/>
      <c r="AJ19" s="25">
        <f t="shared" si="25"/>
        <v>4</v>
      </c>
      <c r="AK19" s="25">
        <f t="shared" si="26"/>
        <v>-18</v>
      </c>
      <c r="AL19" s="25" t="str">
        <f t="shared" si="27"/>
        <v/>
      </c>
      <c r="AM19" s="24">
        <v>233</v>
      </c>
      <c r="AN19" s="24">
        <v>72</v>
      </c>
      <c r="AO19" s="24"/>
      <c r="AP19" s="42">
        <f t="shared" si="28"/>
        <v>1.3043478260869565</v>
      </c>
      <c r="AQ19" s="42">
        <f t="shared" si="29"/>
        <v>2.8571428571428572</v>
      </c>
      <c r="AR19" s="42" t="str">
        <f t="shared" si="30"/>
        <v/>
      </c>
      <c r="AS19" s="74"/>
      <c r="AT19" s="24">
        <v>522</v>
      </c>
      <c r="AU19" s="24">
        <v>24</v>
      </c>
      <c r="AV19" s="24"/>
      <c r="AW19" s="24">
        <v>4</v>
      </c>
      <c r="AX19" s="24">
        <v>-21.8</v>
      </c>
      <c r="AY19" s="24"/>
      <c r="AZ19" s="74"/>
      <c r="BA19" s="24">
        <v>904</v>
      </c>
      <c r="BB19" s="43">
        <v>45</v>
      </c>
      <c r="BC19" s="43"/>
      <c r="BD19" s="43">
        <v>4</v>
      </c>
      <c r="BE19" s="43">
        <v>-20.6</v>
      </c>
      <c r="BF19" s="43"/>
      <c r="BG19" s="78">
        <f t="shared" si="10"/>
        <v>736.875</v>
      </c>
      <c r="BH19" s="121">
        <f t="shared" si="11"/>
        <v>22.201492537313435</v>
      </c>
      <c r="BI19" s="25">
        <f t="shared" si="31"/>
        <v>456.51428571428562</v>
      </c>
      <c r="BJ19" s="42">
        <f t="shared" si="32"/>
        <v>-1.8772292096890637E-2</v>
      </c>
      <c r="BK19" s="42">
        <f t="shared" si="33"/>
        <v>40.893208360624932</v>
      </c>
      <c r="BL19" s="44">
        <f t="shared" si="34"/>
        <v>22.213866683372277</v>
      </c>
      <c r="BO19" s="38">
        <f t="shared" si="12"/>
        <v>33</v>
      </c>
      <c r="BR19" s="120" t="s">
        <v>125</v>
      </c>
      <c r="BS19" s="38">
        <f t="shared" si="3"/>
        <v>5</v>
      </c>
      <c r="BU19" s="82">
        <f t="shared" si="16"/>
        <v>-21.8</v>
      </c>
      <c r="BV19" s="82">
        <f t="shared" si="17"/>
        <v>-20.6</v>
      </c>
      <c r="BW19" s="82">
        <f t="shared" si="18"/>
        <v>522</v>
      </c>
      <c r="BX19" s="82">
        <f t="shared" si="19"/>
        <v>904</v>
      </c>
      <c r="BZ19" s="118">
        <f t="shared" si="13"/>
        <v>0.57743362831858402</v>
      </c>
      <c r="CA19" s="34" t="str">
        <f t="shared" si="14"/>
        <v>3.3</v>
      </c>
      <c r="CC19" s="82" t="str">
        <f t="shared" si="15"/>
        <v/>
      </c>
    </row>
    <row r="20" spans="1:81" ht="15" customHeight="1" x14ac:dyDescent="0.2">
      <c r="A20" s="56"/>
      <c r="B20" s="41">
        <v>10</v>
      </c>
      <c r="C20" s="37" t="str">
        <f t="shared" si="4"/>
        <v>31</v>
      </c>
      <c r="D20" s="46">
        <v>7</v>
      </c>
      <c r="E20" s="47" t="s">
        <v>94</v>
      </c>
      <c r="F20" s="47" t="s">
        <v>17</v>
      </c>
      <c r="G20" s="47" t="s">
        <v>15</v>
      </c>
      <c r="H20" s="48">
        <v>2</v>
      </c>
      <c r="I20" s="48">
        <v>1</v>
      </c>
      <c r="J20" s="48">
        <v>1</v>
      </c>
      <c r="K20" s="48" t="s">
        <v>94</v>
      </c>
      <c r="L20" s="49"/>
      <c r="M20" s="50" t="s">
        <v>2</v>
      </c>
      <c r="N20" s="50" t="s">
        <v>22</v>
      </c>
      <c r="O20" s="50"/>
      <c r="P20" s="47" t="s">
        <v>7</v>
      </c>
      <c r="Q20" s="47" t="s">
        <v>7</v>
      </c>
      <c r="R20" s="47"/>
      <c r="S20" s="86"/>
      <c r="T20" s="23">
        <v>659</v>
      </c>
      <c r="U20" s="24"/>
      <c r="V20" s="24"/>
      <c r="W20" s="24">
        <v>4.5</v>
      </c>
      <c r="X20" s="24">
        <v>-18</v>
      </c>
      <c r="Y20" s="24"/>
      <c r="Z20" s="25">
        <f t="shared" si="20"/>
        <v>5</v>
      </c>
      <c r="AA20" s="25">
        <f t="shared" si="21"/>
        <v>-18</v>
      </c>
      <c r="AB20" s="25" t="str">
        <f t="shared" si="22"/>
        <v/>
      </c>
      <c r="AC20" s="53"/>
      <c r="AD20" s="24">
        <v>315</v>
      </c>
      <c r="AE20" s="24">
        <v>86</v>
      </c>
      <c r="AF20" s="24"/>
      <c r="AG20" s="25">
        <f t="shared" si="23"/>
        <v>599.88</v>
      </c>
      <c r="AH20" s="25">
        <f t="shared" si="24"/>
        <v>31.274591839499628</v>
      </c>
      <c r="AI20" s="74"/>
      <c r="AJ20" s="25">
        <f t="shared" si="25"/>
        <v>4</v>
      </c>
      <c r="AK20" s="25">
        <f t="shared" si="26"/>
        <v>-18</v>
      </c>
      <c r="AL20" s="25" t="str">
        <f t="shared" si="27"/>
        <v/>
      </c>
      <c r="AM20" s="24">
        <v>318</v>
      </c>
      <c r="AN20" s="24">
        <v>88</v>
      </c>
      <c r="AO20" s="24"/>
      <c r="AP20" s="42">
        <f t="shared" si="28"/>
        <v>0.95238095238095244</v>
      </c>
      <c r="AQ20" s="42">
        <f t="shared" si="29"/>
        <v>2.3255813953488373</v>
      </c>
      <c r="AR20" s="42" t="str">
        <f t="shared" si="30"/>
        <v/>
      </c>
      <c r="AS20" s="74"/>
      <c r="AT20" s="24">
        <v>450</v>
      </c>
      <c r="AU20" s="24">
        <v>23</v>
      </c>
      <c r="AV20" s="24"/>
      <c r="AW20" s="24">
        <v>4</v>
      </c>
      <c r="AX20" s="24">
        <v>-21.1</v>
      </c>
      <c r="AY20" s="24"/>
      <c r="AZ20" s="74"/>
      <c r="BA20" s="24">
        <v>1089</v>
      </c>
      <c r="BB20" s="43">
        <v>54</v>
      </c>
      <c r="BC20" s="43"/>
      <c r="BD20" s="43">
        <v>4</v>
      </c>
      <c r="BE20" s="43">
        <v>-22.6</v>
      </c>
      <c r="BF20" s="43"/>
      <c r="BG20" s="78">
        <f t="shared" si="10"/>
        <v>809.4375</v>
      </c>
      <c r="BH20" s="121">
        <f t="shared" si="11"/>
        <v>22.828148710166921</v>
      </c>
      <c r="BI20" s="25">
        <f t="shared" si="31"/>
        <v>597.82857142857142</v>
      </c>
      <c r="BJ20" s="42">
        <f t="shared" si="32"/>
        <v>-0.34197315653606947</v>
      </c>
      <c r="BK20" s="42">
        <f t="shared" si="33"/>
        <v>38.493779843150499</v>
      </c>
      <c r="BL20" s="44">
        <f t="shared" si="34"/>
        <v>23.083236515761904</v>
      </c>
      <c r="BO20" s="38">
        <f t="shared" si="12"/>
        <v>31</v>
      </c>
      <c r="BS20" s="38">
        <f t="shared" si="3"/>
        <v>5</v>
      </c>
      <c r="BU20" s="82">
        <f t="shared" si="16"/>
        <v>-21.1</v>
      </c>
      <c r="BV20" s="82">
        <f t="shared" si="17"/>
        <v>-22.6</v>
      </c>
      <c r="BW20" s="82">
        <f t="shared" si="18"/>
        <v>450</v>
      </c>
      <c r="BX20" s="82">
        <f t="shared" si="19"/>
        <v>1089</v>
      </c>
      <c r="BZ20" s="118">
        <f t="shared" si="13"/>
        <v>0.41322314049586778</v>
      </c>
      <c r="CA20" s="34" t="str">
        <f t="shared" si="14"/>
        <v>4.5</v>
      </c>
      <c r="CC20" s="82" t="str">
        <f t="shared" si="15"/>
        <v/>
      </c>
    </row>
    <row r="21" spans="1:81" ht="15" customHeight="1" x14ac:dyDescent="0.2">
      <c r="A21" s="56"/>
      <c r="B21" s="41">
        <v>11</v>
      </c>
      <c r="C21" s="37" t="str">
        <f t="shared" si="4"/>
        <v>43</v>
      </c>
      <c r="D21" s="46">
        <v>7</v>
      </c>
      <c r="E21" s="47" t="s">
        <v>95</v>
      </c>
      <c r="F21" s="47" t="s">
        <v>16</v>
      </c>
      <c r="G21" s="47" t="s">
        <v>15</v>
      </c>
      <c r="H21" s="48">
        <v>2</v>
      </c>
      <c r="I21" s="48">
        <v>1</v>
      </c>
      <c r="J21" s="48">
        <v>1</v>
      </c>
      <c r="K21" s="48" t="s">
        <v>94</v>
      </c>
      <c r="L21" s="49"/>
      <c r="M21" s="50" t="s">
        <v>2</v>
      </c>
      <c r="N21" s="50" t="s">
        <v>22</v>
      </c>
      <c r="O21" s="50"/>
      <c r="P21" s="47" t="s">
        <v>7</v>
      </c>
      <c r="Q21" s="47" t="s">
        <v>7</v>
      </c>
      <c r="R21" s="47"/>
      <c r="S21" s="86"/>
      <c r="T21" s="23">
        <v>645</v>
      </c>
      <c r="U21" s="24"/>
      <c r="V21" s="24"/>
      <c r="W21" s="24">
        <v>5</v>
      </c>
      <c r="X21" s="24">
        <v>-18.2</v>
      </c>
      <c r="Y21" s="24"/>
      <c r="Z21" s="25">
        <f t="shared" si="20"/>
        <v>5</v>
      </c>
      <c r="AA21" s="25">
        <f t="shared" si="21"/>
        <v>-18</v>
      </c>
      <c r="AB21" s="25" t="str">
        <f t="shared" si="22"/>
        <v/>
      </c>
      <c r="AC21" s="53">
        <v>32</v>
      </c>
      <c r="AD21" s="24">
        <v>152</v>
      </c>
      <c r="AE21" s="24">
        <v>42</v>
      </c>
      <c r="AF21" s="24"/>
      <c r="AG21" s="25">
        <f t="shared" si="23"/>
        <v>319.83600000000001</v>
      </c>
      <c r="AH21" s="25">
        <f t="shared" si="24"/>
        <v>42.687150203350221</v>
      </c>
      <c r="AI21" s="74"/>
      <c r="AJ21" s="25">
        <f t="shared" si="25"/>
        <v>4</v>
      </c>
      <c r="AK21" s="25">
        <f t="shared" si="26"/>
        <v>-18</v>
      </c>
      <c r="AL21" s="25" t="str">
        <f t="shared" si="27"/>
        <v/>
      </c>
      <c r="AM21" s="24">
        <v>154</v>
      </c>
      <c r="AN21" s="24">
        <v>43</v>
      </c>
      <c r="AO21" s="24"/>
      <c r="AP21" s="42">
        <f t="shared" si="28"/>
        <v>1.3157894736842104</v>
      </c>
      <c r="AQ21" s="42">
        <f t="shared" si="29"/>
        <v>2.3809523809523809</v>
      </c>
      <c r="AR21" s="42" t="str">
        <f t="shared" si="30"/>
        <v/>
      </c>
      <c r="AS21" s="74"/>
      <c r="AT21" s="24">
        <v>527</v>
      </c>
      <c r="AU21" s="24">
        <v>24</v>
      </c>
      <c r="AV21" s="24"/>
      <c r="AW21" s="24">
        <v>4</v>
      </c>
      <c r="AX21" s="24">
        <v>-19.7</v>
      </c>
      <c r="AY21" s="24"/>
      <c r="AZ21" s="74"/>
      <c r="BA21" s="24">
        <v>1111</v>
      </c>
      <c r="BB21" s="43">
        <v>46</v>
      </c>
      <c r="BC21" s="43"/>
      <c r="BD21" s="43">
        <v>4</v>
      </c>
      <c r="BE21" s="43">
        <v>-21.7</v>
      </c>
      <c r="BF21" s="43"/>
      <c r="BG21" s="78">
        <f t="shared" si="10"/>
        <v>855.5</v>
      </c>
      <c r="BH21" s="121">
        <f t="shared" si="11"/>
        <v>32.63565891472868</v>
      </c>
      <c r="BI21" s="25">
        <f t="shared" si="31"/>
        <v>319.50285714285712</v>
      </c>
      <c r="BJ21" s="42">
        <f t="shared" si="32"/>
        <v>-0.10416052512627993</v>
      </c>
      <c r="BK21" s="42">
        <f t="shared" si="33"/>
        <v>56.644969216715666</v>
      </c>
      <c r="BL21" s="44">
        <f t="shared" si="34"/>
        <v>32.697940590726034</v>
      </c>
      <c r="BO21" s="38">
        <f t="shared" si="12"/>
        <v>43</v>
      </c>
      <c r="BS21" s="38">
        <f t="shared" si="3"/>
        <v>5</v>
      </c>
      <c r="BU21" s="82">
        <f t="shared" si="16"/>
        <v>-19.7</v>
      </c>
      <c r="BV21" s="82">
        <f t="shared" si="17"/>
        <v>-21.7</v>
      </c>
      <c r="BW21" s="82">
        <f t="shared" si="18"/>
        <v>527</v>
      </c>
      <c r="BX21" s="82">
        <f t="shared" si="19"/>
        <v>1111</v>
      </c>
      <c r="BZ21" s="118">
        <f t="shared" si="13"/>
        <v>0.47434743474347435</v>
      </c>
      <c r="CA21" s="34" t="str">
        <f t="shared" si="14"/>
        <v>-18.2</v>
      </c>
      <c r="CC21" s="82">
        <f t="shared" si="15"/>
        <v>32.63565891472868</v>
      </c>
    </row>
    <row r="22" spans="1:81" ht="15" customHeight="1" x14ac:dyDescent="0.2">
      <c r="A22" s="56"/>
      <c r="B22" s="41">
        <v>12</v>
      </c>
      <c r="C22" s="37" t="str">
        <f t="shared" si="4"/>
        <v>41</v>
      </c>
      <c r="D22" s="46">
        <v>7</v>
      </c>
      <c r="E22" s="47" t="s">
        <v>95</v>
      </c>
      <c r="F22" s="47" t="s">
        <v>16</v>
      </c>
      <c r="G22" s="47" t="s">
        <v>15</v>
      </c>
      <c r="H22" s="48">
        <v>2</v>
      </c>
      <c r="I22" s="48">
        <v>1</v>
      </c>
      <c r="J22" s="48">
        <v>1</v>
      </c>
      <c r="K22" s="48" t="s">
        <v>94</v>
      </c>
      <c r="L22" s="49"/>
      <c r="M22" s="50" t="s">
        <v>2</v>
      </c>
      <c r="N22" s="50" t="s">
        <v>22</v>
      </c>
      <c r="O22" s="50"/>
      <c r="P22" s="47" t="s">
        <v>7</v>
      </c>
      <c r="Q22" s="47" t="s">
        <v>7</v>
      </c>
      <c r="R22" s="47"/>
      <c r="S22" s="86"/>
      <c r="T22" s="23">
        <v>663</v>
      </c>
      <c r="U22" s="24"/>
      <c r="V22" s="24"/>
      <c r="W22" s="24">
        <v>4.7</v>
      </c>
      <c r="X22" s="24">
        <v>-18</v>
      </c>
      <c r="Y22" s="24"/>
      <c r="Z22" s="25">
        <f t="shared" si="20"/>
        <v>5</v>
      </c>
      <c r="AA22" s="25">
        <f t="shared" si="21"/>
        <v>-18</v>
      </c>
      <c r="AB22" s="25" t="str">
        <f t="shared" si="22"/>
        <v/>
      </c>
      <c r="AC22" s="53">
        <v>34</v>
      </c>
      <c r="AD22" s="24">
        <v>187</v>
      </c>
      <c r="AE22" s="24">
        <v>42</v>
      </c>
      <c r="AF22" s="24"/>
      <c r="AG22" s="25">
        <f t="shared" si="23"/>
        <v>366.036</v>
      </c>
      <c r="AH22" s="25">
        <f t="shared" si="24"/>
        <v>41.196951283625808</v>
      </c>
      <c r="AI22" s="74"/>
      <c r="AJ22" s="25">
        <f t="shared" si="25"/>
        <v>4</v>
      </c>
      <c r="AK22" s="25">
        <f t="shared" si="26"/>
        <v>-18</v>
      </c>
      <c r="AL22" s="25" t="str">
        <f t="shared" si="27"/>
        <v/>
      </c>
      <c r="AM22" s="24">
        <v>189</v>
      </c>
      <c r="AN22" s="24">
        <v>43</v>
      </c>
      <c r="AO22" s="24"/>
      <c r="AP22" s="42">
        <f t="shared" si="28"/>
        <v>1.0695187165775399</v>
      </c>
      <c r="AQ22" s="42">
        <f t="shared" si="29"/>
        <v>2.3809523809523809</v>
      </c>
      <c r="AR22" s="42" t="str">
        <f t="shared" si="30"/>
        <v/>
      </c>
      <c r="AS22" s="74"/>
      <c r="AT22" s="24">
        <v>685</v>
      </c>
      <c r="AU22" s="24">
        <v>27</v>
      </c>
      <c r="AV22" s="24"/>
      <c r="AW22" s="24">
        <v>4</v>
      </c>
      <c r="AX22" s="24">
        <v>-20.9</v>
      </c>
      <c r="AY22" s="24"/>
      <c r="AZ22" s="74"/>
      <c r="BA22" s="24">
        <v>1111</v>
      </c>
      <c r="BB22" s="43">
        <v>55</v>
      </c>
      <c r="BC22" s="43"/>
      <c r="BD22" s="43">
        <v>4</v>
      </c>
      <c r="BE22" s="43">
        <v>-21.2</v>
      </c>
      <c r="BF22" s="43"/>
      <c r="BG22" s="78">
        <f t="shared" si="10"/>
        <v>924.625</v>
      </c>
      <c r="BH22" s="121">
        <f t="shared" si="11"/>
        <v>39.46078431372549</v>
      </c>
      <c r="BI22" s="25">
        <f t="shared" si="31"/>
        <v>365.70285714285711</v>
      </c>
      <c r="BJ22" s="42">
        <f t="shared" si="32"/>
        <v>-9.1013686397755603E-2</v>
      </c>
      <c r="BK22" s="42">
        <f t="shared" si="33"/>
        <v>57.478920418307304</v>
      </c>
      <c r="BL22" s="44">
        <f t="shared" si="34"/>
        <v>39.522267127453553</v>
      </c>
      <c r="BN22" s="34" t="str">
        <f>B10</f>
        <v>Cat 7-I</v>
      </c>
      <c r="BO22" s="38">
        <f t="shared" si="12"/>
        <v>41</v>
      </c>
      <c r="BR22" s="120"/>
      <c r="BS22" s="38">
        <f t="shared" si="3"/>
        <v>5</v>
      </c>
      <c r="BU22" s="82">
        <f t="shared" si="16"/>
        <v>-20.9</v>
      </c>
      <c r="BV22" s="82">
        <f t="shared" si="17"/>
        <v>-21.2</v>
      </c>
      <c r="BW22" s="82">
        <f t="shared" si="18"/>
        <v>685</v>
      </c>
      <c r="BX22" s="82">
        <f t="shared" si="19"/>
        <v>1111</v>
      </c>
      <c r="BZ22" s="118">
        <f t="shared" si="13"/>
        <v>0.61656165616561653</v>
      </c>
      <c r="CA22" s="34" t="str">
        <f t="shared" si="14"/>
        <v>4.7</v>
      </c>
      <c r="CC22" s="82" t="str">
        <f t="shared" si="15"/>
        <v/>
      </c>
    </row>
    <row r="23" spans="1:81" ht="15" customHeight="1" x14ac:dyDescent="0.2">
      <c r="A23" s="56"/>
      <c r="B23" s="41">
        <v>13</v>
      </c>
      <c r="C23" s="37" t="str">
        <f t="shared" si="4"/>
        <v>43</v>
      </c>
      <c r="D23" s="46">
        <v>7</v>
      </c>
      <c r="E23" s="47" t="s">
        <v>95</v>
      </c>
      <c r="F23" s="47" t="s">
        <v>16</v>
      </c>
      <c r="G23" s="47" t="s">
        <v>15</v>
      </c>
      <c r="H23" s="48">
        <v>2</v>
      </c>
      <c r="I23" s="48">
        <v>1</v>
      </c>
      <c r="J23" s="48">
        <v>1</v>
      </c>
      <c r="K23" s="48" t="s">
        <v>94</v>
      </c>
      <c r="L23" s="49"/>
      <c r="M23" s="50" t="s">
        <v>2</v>
      </c>
      <c r="N23" s="50" t="s">
        <v>22</v>
      </c>
      <c r="O23" s="50"/>
      <c r="P23" s="47" t="s">
        <v>7</v>
      </c>
      <c r="Q23" s="47" t="s">
        <v>7</v>
      </c>
      <c r="R23" s="47"/>
      <c r="S23" s="86"/>
      <c r="T23" s="23">
        <v>733</v>
      </c>
      <c r="U23" s="24"/>
      <c r="V23" s="24"/>
      <c r="W23" s="24">
        <v>4.5999999999999996</v>
      </c>
      <c r="X23" s="24">
        <v>-18</v>
      </c>
      <c r="Y23" s="24"/>
      <c r="Z23" s="25">
        <f t="shared" si="20"/>
        <v>5</v>
      </c>
      <c r="AA23" s="25">
        <f t="shared" si="21"/>
        <v>-18</v>
      </c>
      <c r="AB23" s="25" t="str">
        <f t="shared" si="22"/>
        <v/>
      </c>
      <c r="AC23" s="53">
        <v>31</v>
      </c>
      <c r="AD23" s="24">
        <v>214</v>
      </c>
      <c r="AE23" s="24">
        <v>42</v>
      </c>
      <c r="AF23" s="24"/>
      <c r="AG23" s="25">
        <f t="shared" si="23"/>
        <v>401.67600000000004</v>
      </c>
      <c r="AH23" s="25">
        <f t="shared" si="24"/>
        <v>43.496020235672944</v>
      </c>
      <c r="AI23" s="74"/>
      <c r="AJ23" s="25">
        <f t="shared" si="25"/>
        <v>4</v>
      </c>
      <c r="AK23" s="25">
        <f t="shared" si="26"/>
        <v>-18</v>
      </c>
      <c r="AL23" s="25" t="str">
        <f t="shared" si="27"/>
        <v/>
      </c>
      <c r="AM23" s="24">
        <v>217</v>
      </c>
      <c r="AN23" s="24">
        <v>43</v>
      </c>
      <c r="AO23" s="24"/>
      <c r="AP23" s="42">
        <f t="shared" si="28"/>
        <v>1.4018691588785046</v>
      </c>
      <c r="AQ23" s="42">
        <f t="shared" si="29"/>
        <v>2.3809523809523809</v>
      </c>
      <c r="AR23" s="42" t="str">
        <f t="shared" si="30"/>
        <v/>
      </c>
      <c r="AS23" s="74"/>
      <c r="AT23" s="24">
        <v>410</v>
      </c>
      <c r="AU23" s="24">
        <v>22</v>
      </c>
      <c r="AV23" s="24"/>
      <c r="AW23" s="24">
        <v>4</v>
      </c>
      <c r="AX23" s="24">
        <v>-18.8</v>
      </c>
      <c r="AY23" s="24"/>
      <c r="AZ23" s="74"/>
      <c r="BA23" s="24">
        <v>1185</v>
      </c>
      <c r="BB23" s="43">
        <v>58</v>
      </c>
      <c r="BC23" s="43"/>
      <c r="BD23" s="43">
        <v>4</v>
      </c>
      <c r="BE23" s="43">
        <v>-20.9</v>
      </c>
      <c r="BF23" s="43"/>
      <c r="BG23" s="78">
        <f t="shared" si="10"/>
        <v>845.9375</v>
      </c>
      <c r="BH23" s="121">
        <f t="shared" si="11"/>
        <v>15.407571623465211</v>
      </c>
      <c r="BI23" s="25">
        <f t="shared" si="31"/>
        <v>402.66285714285715</v>
      </c>
      <c r="BJ23" s="42">
        <f t="shared" si="32"/>
        <v>0.24568486612521145</v>
      </c>
      <c r="BK23" s="42">
        <f t="shared" si="33"/>
        <v>50.135202039056871</v>
      </c>
      <c r="BL23" s="44">
        <f t="shared" si="34"/>
        <v>15.26388337924041</v>
      </c>
      <c r="BO23" s="38">
        <f t="shared" si="12"/>
        <v>43</v>
      </c>
      <c r="BS23" s="38">
        <f t="shared" si="3"/>
        <v>5</v>
      </c>
      <c r="BU23" s="82">
        <f t="shared" si="16"/>
        <v>-18.8</v>
      </c>
      <c r="BV23" s="82">
        <f t="shared" si="17"/>
        <v>-20.9</v>
      </c>
      <c r="BW23" s="82">
        <f t="shared" si="18"/>
        <v>410</v>
      </c>
      <c r="BX23" s="82">
        <f t="shared" si="19"/>
        <v>1185</v>
      </c>
      <c r="BZ23" s="118">
        <f t="shared" si="13"/>
        <v>0.34599156118143459</v>
      </c>
      <c r="CA23" s="34" t="str">
        <f t="shared" si="14"/>
        <v>4.6</v>
      </c>
      <c r="CC23" s="82">
        <f t="shared" si="15"/>
        <v>15.407571623465211</v>
      </c>
    </row>
    <row r="24" spans="1:81" ht="15" customHeight="1" x14ac:dyDescent="0.2">
      <c r="A24" s="56"/>
      <c r="B24" s="41">
        <v>14</v>
      </c>
      <c r="C24" s="37" t="str">
        <f t="shared" si="4"/>
        <v>47</v>
      </c>
      <c r="D24" s="46">
        <v>7</v>
      </c>
      <c r="E24" s="47" t="s">
        <v>95</v>
      </c>
      <c r="F24" s="47" t="s">
        <v>16</v>
      </c>
      <c r="G24" s="47" t="s">
        <v>15</v>
      </c>
      <c r="H24" s="48">
        <v>2</v>
      </c>
      <c r="I24" s="48">
        <v>1</v>
      </c>
      <c r="J24" s="48">
        <v>1</v>
      </c>
      <c r="K24" s="48" t="s">
        <v>94</v>
      </c>
      <c r="L24" s="49"/>
      <c r="M24" s="50" t="s">
        <v>2</v>
      </c>
      <c r="N24" s="50" t="s">
        <v>22</v>
      </c>
      <c r="O24" s="50"/>
      <c r="P24" s="47" t="s">
        <v>7</v>
      </c>
      <c r="Q24" s="47" t="s">
        <v>7</v>
      </c>
      <c r="R24" s="47"/>
      <c r="S24" s="86"/>
      <c r="T24" s="23">
        <v>583</v>
      </c>
      <c r="U24" s="24"/>
      <c r="V24" s="24"/>
      <c r="W24" s="24">
        <v>5</v>
      </c>
      <c r="X24" s="24">
        <v>-20.8</v>
      </c>
      <c r="Y24" s="24"/>
      <c r="Z24" s="25">
        <f t="shared" si="20"/>
        <v>5</v>
      </c>
      <c r="AA24" s="25">
        <f t="shared" si="21"/>
        <v>-18</v>
      </c>
      <c r="AB24" s="25" t="str">
        <f t="shared" si="22"/>
        <v/>
      </c>
      <c r="AC24" s="53"/>
      <c r="AD24" s="24">
        <v>114</v>
      </c>
      <c r="AE24" s="24">
        <v>17</v>
      </c>
      <c r="AF24" s="24"/>
      <c r="AG24" s="25">
        <f t="shared" si="23"/>
        <v>198.726</v>
      </c>
      <c r="AH24" s="25">
        <f t="shared" si="24"/>
        <v>46.521709745710858</v>
      </c>
      <c r="AI24" s="74"/>
      <c r="AJ24" s="25">
        <f t="shared" si="25"/>
        <v>4</v>
      </c>
      <c r="AK24" s="25">
        <f t="shared" si="26"/>
        <v>-18</v>
      </c>
      <c r="AL24" s="25" t="str">
        <f t="shared" si="27"/>
        <v/>
      </c>
      <c r="AM24" s="24">
        <v>115</v>
      </c>
      <c r="AN24" s="24">
        <v>18</v>
      </c>
      <c r="AO24" s="24"/>
      <c r="AP24" s="42">
        <f t="shared" si="28"/>
        <v>0.8771929824561403</v>
      </c>
      <c r="AQ24" s="42">
        <f t="shared" si="29"/>
        <v>5.8823529411764701</v>
      </c>
      <c r="AR24" s="42" t="str">
        <f t="shared" si="30"/>
        <v/>
      </c>
      <c r="AS24" s="74"/>
      <c r="AT24" s="24">
        <v>322</v>
      </c>
      <c r="AU24" s="24"/>
      <c r="AV24" s="24"/>
      <c r="AW24" s="24">
        <v>3.5</v>
      </c>
      <c r="AX24" s="24">
        <v>-18</v>
      </c>
      <c r="AY24" s="24"/>
      <c r="AZ24" s="74"/>
      <c r="BA24" s="24">
        <v>1059</v>
      </c>
      <c r="BB24" s="43"/>
      <c r="BC24" s="43"/>
      <c r="BD24" s="43">
        <v>4</v>
      </c>
      <c r="BE24" s="43">
        <v>-24.7</v>
      </c>
      <c r="BF24" s="43"/>
      <c r="BG24" s="78">
        <f t="shared" si="10"/>
        <v>736.5625</v>
      </c>
      <c r="BH24" s="121">
        <f t="shared" si="11"/>
        <v>26.340051457975989</v>
      </c>
      <c r="BI24" s="25">
        <f t="shared" si="31"/>
        <v>200.45142857142858</v>
      </c>
      <c r="BJ24" s="42">
        <f t="shared" si="32"/>
        <v>0.8682450064050905</v>
      </c>
      <c r="BK24" s="42">
        <f t="shared" si="33"/>
        <v>58.603785746316795</v>
      </c>
      <c r="BL24" s="44">
        <f t="shared" si="34"/>
        <v>25.970833975464245</v>
      </c>
      <c r="BO24" s="38">
        <f t="shared" si="12"/>
        <v>47</v>
      </c>
      <c r="BR24" s="119"/>
      <c r="BS24" s="38">
        <f t="shared" si="3"/>
        <v>5</v>
      </c>
      <c r="BU24" s="82">
        <f t="shared" si="16"/>
        <v>-18</v>
      </c>
      <c r="BV24" s="82">
        <f t="shared" si="17"/>
        <v>-24.7</v>
      </c>
      <c r="BW24" s="82">
        <f t="shared" si="18"/>
        <v>322</v>
      </c>
      <c r="BX24" s="82">
        <f t="shared" si="19"/>
        <v>1059</v>
      </c>
      <c r="BZ24" s="118">
        <f t="shared" si="13"/>
        <v>0.3040604343720491</v>
      </c>
      <c r="CA24" s="34" t="str">
        <f t="shared" si="14"/>
        <v>-20.8</v>
      </c>
      <c r="CC24" s="82">
        <f t="shared" si="15"/>
        <v>26.340051457975989</v>
      </c>
    </row>
    <row r="25" spans="1:81" ht="15" customHeight="1" x14ac:dyDescent="0.2">
      <c r="A25" s="56"/>
      <c r="B25" s="41">
        <v>15</v>
      </c>
      <c r="C25" s="37" t="str">
        <f t="shared" si="4"/>
        <v>32</v>
      </c>
      <c r="D25" s="46">
        <v>7</v>
      </c>
      <c r="E25" s="47" t="s">
        <v>95</v>
      </c>
      <c r="F25" s="47" t="s">
        <v>16</v>
      </c>
      <c r="G25" s="47" t="s">
        <v>15</v>
      </c>
      <c r="H25" s="48">
        <v>2</v>
      </c>
      <c r="I25" s="48">
        <v>1</v>
      </c>
      <c r="J25" s="48">
        <v>1</v>
      </c>
      <c r="K25" s="48" t="s">
        <v>94</v>
      </c>
      <c r="L25" s="49"/>
      <c r="M25" s="50" t="s">
        <v>2</v>
      </c>
      <c r="N25" s="50" t="s">
        <v>22</v>
      </c>
      <c r="O25" s="50"/>
      <c r="P25" s="47" t="s">
        <v>7</v>
      </c>
      <c r="Q25" s="47" t="s">
        <v>7</v>
      </c>
      <c r="R25" s="47"/>
      <c r="S25" s="86"/>
      <c r="T25" s="23">
        <v>437</v>
      </c>
      <c r="U25" s="24"/>
      <c r="V25" s="24"/>
      <c r="W25" s="24">
        <v>5</v>
      </c>
      <c r="X25" s="24">
        <v>-18.8</v>
      </c>
      <c r="Y25" s="24"/>
      <c r="Z25" s="25">
        <f t="shared" si="20"/>
        <v>5</v>
      </c>
      <c r="AA25" s="25">
        <f t="shared" si="21"/>
        <v>-18</v>
      </c>
      <c r="AB25" s="25" t="str">
        <f t="shared" si="22"/>
        <v/>
      </c>
      <c r="AC25" s="53"/>
      <c r="AD25" s="24">
        <v>147</v>
      </c>
      <c r="AE25" s="24">
        <v>17</v>
      </c>
      <c r="AF25" s="24"/>
      <c r="AG25" s="25">
        <f t="shared" si="23"/>
        <v>242.286</v>
      </c>
      <c r="AH25" s="25">
        <f t="shared" si="24"/>
        <v>32.468799957509752</v>
      </c>
      <c r="AI25" s="74"/>
      <c r="AJ25" s="25">
        <f t="shared" si="25"/>
        <v>4</v>
      </c>
      <c r="AK25" s="25">
        <f t="shared" si="26"/>
        <v>-18</v>
      </c>
      <c r="AL25" s="25" t="str">
        <f t="shared" si="27"/>
        <v/>
      </c>
      <c r="AM25" s="24">
        <v>149</v>
      </c>
      <c r="AN25" s="24">
        <v>18</v>
      </c>
      <c r="AO25" s="24"/>
      <c r="AP25" s="42">
        <f t="shared" si="28"/>
        <v>1.3605442176870748</v>
      </c>
      <c r="AQ25" s="42">
        <f t="shared" si="29"/>
        <v>5.8823529411764701</v>
      </c>
      <c r="AR25" s="42" t="str">
        <f t="shared" si="30"/>
        <v/>
      </c>
      <c r="AS25" s="74"/>
      <c r="AT25" s="24">
        <v>431</v>
      </c>
      <c r="AU25" s="24"/>
      <c r="AV25" s="24"/>
      <c r="AW25" s="24">
        <v>4</v>
      </c>
      <c r="AX25" s="24">
        <v>-19.100000000000001</v>
      </c>
      <c r="AY25" s="24"/>
      <c r="AZ25" s="74"/>
      <c r="BA25" s="24">
        <v>700</v>
      </c>
      <c r="BB25" s="43"/>
      <c r="BC25" s="43"/>
      <c r="BD25" s="43">
        <v>4</v>
      </c>
      <c r="BE25" s="43">
        <v>-20.7</v>
      </c>
      <c r="BF25" s="43"/>
      <c r="BG25" s="78">
        <f t="shared" si="10"/>
        <v>582.3125</v>
      </c>
      <c r="BH25" s="121">
        <f t="shared" si="11"/>
        <v>33.252288329519452</v>
      </c>
      <c r="BI25" s="25">
        <f t="shared" si="31"/>
        <v>245.33142857142857</v>
      </c>
      <c r="BJ25" s="42">
        <f t="shared" si="32"/>
        <v>1.2569560649103015</v>
      </c>
      <c r="BK25" s="42">
        <f t="shared" si="33"/>
        <v>43.058015768810549</v>
      </c>
      <c r="BL25" s="44">
        <f t="shared" si="34"/>
        <v>32.613511509998396</v>
      </c>
      <c r="BO25" s="38">
        <f t="shared" si="12"/>
        <v>32</v>
      </c>
      <c r="BS25" s="38">
        <f t="shared" si="3"/>
        <v>5</v>
      </c>
      <c r="BU25" s="82">
        <f t="shared" si="16"/>
        <v>-19.100000000000001</v>
      </c>
      <c r="BV25" s="82">
        <f t="shared" si="17"/>
        <v>-20.7</v>
      </c>
      <c r="BW25" s="82">
        <f t="shared" si="18"/>
        <v>431</v>
      </c>
      <c r="BX25" s="82">
        <f t="shared" si="19"/>
        <v>700</v>
      </c>
      <c r="BZ25" s="118">
        <f t="shared" si="13"/>
        <v>0.61571428571428577</v>
      </c>
      <c r="CA25" s="34" t="str">
        <f t="shared" si="14"/>
        <v>-18.8</v>
      </c>
      <c r="CC25" s="82" t="str">
        <f t="shared" si="15"/>
        <v/>
      </c>
    </row>
    <row r="26" spans="1:81" ht="15" customHeight="1" x14ac:dyDescent="0.2">
      <c r="A26" s="56"/>
      <c r="B26" s="41">
        <v>16</v>
      </c>
      <c r="C26" s="37" t="str">
        <f t="shared" si="4"/>
        <v>21</v>
      </c>
      <c r="D26" s="46">
        <v>7</v>
      </c>
      <c r="E26" s="47" t="s">
        <v>95</v>
      </c>
      <c r="F26" s="47" t="s">
        <v>16</v>
      </c>
      <c r="G26" s="47" t="s">
        <v>15</v>
      </c>
      <c r="H26" s="48">
        <v>2</v>
      </c>
      <c r="I26" s="48">
        <v>1</v>
      </c>
      <c r="J26" s="48">
        <v>1</v>
      </c>
      <c r="K26" s="48" t="s">
        <v>96</v>
      </c>
      <c r="L26" s="49"/>
      <c r="M26" s="50" t="s">
        <v>2</v>
      </c>
      <c r="N26" s="50" t="s">
        <v>22</v>
      </c>
      <c r="O26" s="50"/>
      <c r="P26" s="47" t="s">
        <v>7</v>
      </c>
      <c r="Q26" s="47" t="s">
        <v>7</v>
      </c>
      <c r="R26" s="47"/>
      <c r="S26" s="86"/>
      <c r="T26" s="23">
        <v>265</v>
      </c>
      <c r="U26" s="24"/>
      <c r="V26" s="24"/>
      <c r="W26" s="24">
        <v>5</v>
      </c>
      <c r="X26" s="24">
        <v>-18.600000000000001</v>
      </c>
      <c r="Y26" s="24"/>
      <c r="Z26" s="25">
        <f t="shared" si="20"/>
        <v>5</v>
      </c>
      <c r="AA26" s="25">
        <f t="shared" si="21"/>
        <v>-18</v>
      </c>
      <c r="AB26" s="25" t="str">
        <f t="shared" si="22"/>
        <v/>
      </c>
      <c r="AC26" s="53"/>
      <c r="AD26" s="24">
        <v>111</v>
      </c>
      <c r="AE26" s="24">
        <v>16</v>
      </c>
      <c r="AF26" s="24"/>
      <c r="AG26" s="25">
        <f t="shared" si="23"/>
        <v>191.928</v>
      </c>
      <c r="AH26" s="25">
        <f t="shared" si="24"/>
        <v>21.393275360023221</v>
      </c>
      <c r="AI26" s="74"/>
      <c r="AJ26" s="25">
        <f t="shared" si="25"/>
        <v>4</v>
      </c>
      <c r="AK26" s="25">
        <f t="shared" si="26"/>
        <v>-18</v>
      </c>
      <c r="AL26" s="25" t="str">
        <f t="shared" si="27"/>
        <v/>
      </c>
      <c r="AM26" s="24">
        <v>113</v>
      </c>
      <c r="AN26" s="24">
        <v>17</v>
      </c>
      <c r="AO26" s="24"/>
      <c r="AP26" s="42">
        <f t="shared" si="28"/>
        <v>1.8018018018018018</v>
      </c>
      <c r="AQ26" s="42">
        <f t="shared" si="29"/>
        <v>6.25</v>
      </c>
      <c r="AR26" s="42" t="str">
        <f t="shared" si="30"/>
        <v/>
      </c>
      <c r="AS26" s="74"/>
      <c r="AT26" s="24">
        <v>296</v>
      </c>
      <c r="AU26" s="24"/>
      <c r="AV26" s="24"/>
      <c r="AW26" s="24">
        <v>4</v>
      </c>
      <c r="AX26" s="24">
        <v>-21.3</v>
      </c>
      <c r="AY26" s="24"/>
      <c r="AZ26" s="74"/>
      <c r="BA26" s="24">
        <v>506</v>
      </c>
      <c r="BB26" s="43"/>
      <c r="BC26" s="43"/>
      <c r="BD26" s="43">
        <v>4</v>
      </c>
      <c r="BE26" s="43">
        <v>-20</v>
      </c>
      <c r="BF26" s="43"/>
      <c r="BG26" s="78">
        <f t="shared" si="10"/>
        <v>414.125</v>
      </c>
      <c r="BH26" s="121">
        <f t="shared" si="11"/>
        <v>56.273584905660378</v>
      </c>
      <c r="BI26" s="25">
        <f t="shared" si="31"/>
        <v>195.10857142857142</v>
      </c>
      <c r="BJ26" s="42">
        <f t="shared" si="32"/>
        <v>1.6571690574441591</v>
      </c>
      <c r="BK26" s="42">
        <f t="shared" si="33"/>
        <v>33.250294281100615</v>
      </c>
      <c r="BL26" s="44">
        <f t="shared" si="34"/>
        <v>55.424046676060378</v>
      </c>
      <c r="BO26" s="38">
        <f t="shared" si="12"/>
        <v>21</v>
      </c>
      <c r="BR26" s="82">
        <f>AVERAGE(CC11:CC35)</f>
        <v>19.340085709150681</v>
      </c>
      <c r="BS26" s="38">
        <f t="shared" si="3"/>
        <v>5</v>
      </c>
      <c r="BU26" s="82">
        <f t="shared" si="16"/>
        <v>-21.3</v>
      </c>
      <c r="BV26" s="82">
        <f t="shared" si="17"/>
        <v>-20</v>
      </c>
      <c r="BW26" s="82">
        <f t="shared" si="18"/>
        <v>296</v>
      </c>
      <c r="BX26" s="82">
        <f t="shared" si="19"/>
        <v>506</v>
      </c>
      <c r="BZ26" s="118">
        <f t="shared" si="13"/>
        <v>0.58498023715415015</v>
      </c>
      <c r="CA26" s="34" t="str">
        <f t="shared" si="14"/>
        <v>-18.6</v>
      </c>
      <c r="CC26" s="82" t="str">
        <f t="shared" si="15"/>
        <v/>
      </c>
    </row>
    <row r="27" spans="1:81" ht="15" customHeight="1" x14ac:dyDescent="0.2">
      <c r="A27" s="56"/>
      <c r="B27" s="41">
        <v>17</v>
      </c>
      <c r="C27" s="37" t="str">
        <f t="shared" si="4"/>
        <v>36</v>
      </c>
      <c r="D27" s="46">
        <v>7</v>
      </c>
      <c r="E27" s="47" t="s">
        <v>94</v>
      </c>
      <c r="F27" s="47" t="s">
        <v>17</v>
      </c>
      <c r="G27" s="47" t="s">
        <v>15</v>
      </c>
      <c r="H27" s="48">
        <v>2</v>
      </c>
      <c r="I27" s="48">
        <v>1</v>
      </c>
      <c r="J27" s="48">
        <v>1</v>
      </c>
      <c r="K27" s="48" t="s">
        <v>94</v>
      </c>
      <c r="L27" s="49"/>
      <c r="M27" s="50" t="s">
        <v>2</v>
      </c>
      <c r="N27" s="50" t="s">
        <v>22</v>
      </c>
      <c r="O27" s="50"/>
      <c r="P27" s="47" t="s">
        <v>7</v>
      </c>
      <c r="Q27" s="47" t="s">
        <v>7</v>
      </c>
      <c r="R27" s="47"/>
      <c r="S27" s="86"/>
      <c r="T27" s="23">
        <v>655</v>
      </c>
      <c r="U27" s="24"/>
      <c r="V27" s="24"/>
      <c r="W27" s="24">
        <v>4.9000000000000004</v>
      </c>
      <c r="X27" s="24">
        <v>-18</v>
      </c>
      <c r="Y27" s="24"/>
      <c r="Z27" s="25">
        <f t="shared" si="20"/>
        <v>5</v>
      </c>
      <c r="AA27" s="25">
        <f t="shared" si="21"/>
        <v>-18</v>
      </c>
      <c r="AB27" s="25" t="str">
        <f t="shared" si="22"/>
        <v/>
      </c>
      <c r="AC27" s="53"/>
      <c r="AD27" s="24">
        <v>194</v>
      </c>
      <c r="AE27" s="24">
        <v>94</v>
      </c>
      <c r="AF27" s="24"/>
      <c r="AG27" s="25">
        <f t="shared" si="23"/>
        <v>475.31999999999994</v>
      </c>
      <c r="AH27" s="25">
        <f t="shared" si="24"/>
        <v>35.55951119017621</v>
      </c>
      <c r="AI27" s="74"/>
      <c r="AJ27" s="25">
        <f t="shared" si="25"/>
        <v>4</v>
      </c>
      <c r="AK27" s="25">
        <f t="shared" si="26"/>
        <v>-18</v>
      </c>
      <c r="AL27" s="25" t="str">
        <f t="shared" si="27"/>
        <v/>
      </c>
      <c r="AM27" s="24">
        <v>197</v>
      </c>
      <c r="AN27" s="24">
        <v>96</v>
      </c>
      <c r="AO27" s="24"/>
      <c r="AP27" s="42">
        <f t="shared" si="28"/>
        <v>1.5463917525773196</v>
      </c>
      <c r="AQ27" s="42">
        <f t="shared" si="29"/>
        <v>2.1276595744680851</v>
      </c>
      <c r="AR27" s="42" t="str">
        <f t="shared" si="30"/>
        <v/>
      </c>
      <c r="AS27" s="74"/>
      <c r="AT27" s="24">
        <v>579</v>
      </c>
      <c r="AU27" s="24"/>
      <c r="AV27" s="24"/>
      <c r="AW27" s="24">
        <v>4</v>
      </c>
      <c r="AX27" s="24">
        <v>-22.7</v>
      </c>
      <c r="AY27" s="24"/>
      <c r="AZ27" s="74"/>
      <c r="BA27" s="24">
        <v>1054</v>
      </c>
      <c r="BB27" s="43"/>
      <c r="BC27" s="43"/>
      <c r="BD27" s="43">
        <v>4</v>
      </c>
      <c r="BE27" s="43">
        <v>-22.5</v>
      </c>
      <c r="BF27" s="43"/>
      <c r="BG27" s="78">
        <f t="shared" si="10"/>
        <v>846.1875</v>
      </c>
      <c r="BH27" s="121">
        <f t="shared" si="11"/>
        <v>29.188931297709924</v>
      </c>
      <c r="BI27" s="25">
        <f t="shared" si="31"/>
        <v>472.28571428571422</v>
      </c>
      <c r="BJ27" s="42">
        <f t="shared" si="32"/>
        <v>-0.63836693475673567</v>
      </c>
      <c r="BK27" s="42">
        <f t="shared" si="33"/>
        <v>46.100613687858782</v>
      </c>
      <c r="BL27" s="44">
        <f t="shared" si="34"/>
        <v>29.64355286355762</v>
      </c>
      <c r="BO27" s="38">
        <f t="shared" si="12"/>
        <v>36</v>
      </c>
      <c r="BS27" s="38">
        <f t="shared" si="3"/>
        <v>5</v>
      </c>
      <c r="BU27" s="82">
        <f t="shared" si="16"/>
        <v>-22.7</v>
      </c>
      <c r="BV27" s="82">
        <f t="shared" si="17"/>
        <v>-22.5</v>
      </c>
      <c r="BW27" s="82">
        <f t="shared" si="18"/>
        <v>579</v>
      </c>
      <c r="BX27" s="82">
        <f t="shared" si="19"/>
        <v>1054</v>
      </c>
      <c r="BZ27" s="118">
        <f t="shared" si="13"/>
        <v>0.54933586337760909</v>
      </c>
      <c r="CA27" s="34" t="str">
        <f t="shared" si="14"/>
        <v>4.9</v>
      </c>
      <c r="CC27" s="82" t="str">
        <f t="shared" si="15"/>
        <v/>
      </c>
    </row>
    <row r="28" spans="1:81" ht="15" customHeight="1" x14ac:dyDescent="0.2">
      <c r="A28" s="56"/>
      <c r="B28" s="41">
        <v>18</v>
      </c>
      <c r="C28" s="37" t="str">
        <f t="shared" si="4"/>
        <v>38</v>
      </c>
      <c r="D28" s="46">
        <v>7</v>
      </c>
      <c r="E28" s="47" t="s">
        <v>94</v>
      </c>
      <c r="F28" s="47" t="s">
        <v>17</v>
      </c>
      <c r="G28" s="47" t="s">
        <v>15</v>
      </c>
      <c r="H28" s="48">
        <v>2</v>
      </c>
      <c r="I28" s="48">
        <v>1</v>
      </c>
      <c r="J28" s="48">
        <v>1</v>
      </c>
      <c r="K28" s="48" t="s">
        <v>94</v>
      </c>
      <c r="L28" s="49"/>
      <c r="M28" s="50" t="s">
        <v>2</v>
      </c>
      <c r="N28" s="50" t="s">
        <v>22</v>
      </c>
      <c r="O28" s="50"/>
      <c r="P28" s="47" t="s">
        <v>7</v>
      </c>
      <c r="Q28" s="47" t="s">
        <v>7</v>
      </c>
      <c r="R28" s="47"/>
      <c r="S28" s="86"/>
      <c r="T28" s="23">
        <v>719</v>
      </c>
      <c r="U28" s="24"/>
      <c r="V28" s="24"/>
      <c r="W28" s="24">
        <v>4.5999999999999996</v>
      </c>
      <c r="X28" s="24">
        <v>-18</v>
      </c>
      <c r="Y28" s="24"/>
      <c r="Z28" s="25">
        <f t="shared" si="20"/>
        <v>5</v>
      </c>
      <c r="AA28" s="25">
        <f t="shared" si="21"/>
        <v>-18</v>
      </c>
      <c r="AB28" s="25" t="str">
        <f t="shared" si="22"/>
        <v/>
      </c>
      <c r="AC28" s="53"/>
      <c r="AD28" s="24">
        <v>215</v>
      </c>
      <c r="AE28" s="24">
        <v>94</v>
      </c>
      <c r="AF28" s="24"/>
      <c r="AG28" s="25">
        <f t="shared" si="23"/>
        <v>500.52</v>
      </c>
      <c r="AH28" s="25">
        <f t="shared" si="24"/>
        <v>37.929392636585845</v>
      </c>
      <c r="AI28" s="74"/>
      <c r="AJ28" s="25">
        <f t="shared" si="25"/>
        <v>4</v>
      </c>
      <c r="AK28" s="25">
        <f t="shared" si="26"/>
        <v>-18</v>
      </c>
      <c r="AL28" s="25" t="str">
        <f t="shared" si="27"/>
        <v/>
      </c>
      <c r="AM28" s="24">
        <v>218</v>
      </c>
      <c r="AN28" s="24">
        <v>96</v>
      </c>
      <c r="AO28" s="24"/>
      <c r="AP28" s="42">
        <f t="shared" si="28"/>
        <v>1.3953488372093024</v>
      </c>
      <c r="AQ28" s="42">
        <f t="shared" si="29"/>
        <v>2.1276595744680851</v>
      </c>
      <c r="AR28" s="42" t="str">
        <f t="shared" si="30"/>
        <v/>
      </c>
      <c r="AS28" s="74"/>
      <c r="AT28" s="24">
        <v>585</v>
      </c>
      <c r="AU28" s="24"/>
      <c r="AV28" s="24"/>
      <c r="AW28" s="24">
        <v>4</v>
      </c>
      <c r="AX28" s="24">
        <v>-22.5</v>
      </c>
      <c r="AY28" s="24"/>
      <c r="AZ28" s="74"/>
      <c r="BA28" s="24">
        <v>987</v>
      </c>
      <c r="BB28" s="43"/>
      <c r="BC28" s="43"/>
      <c r="BD28" s="43">
        <v>4</v>
      </c>
      <c r="BE28" s="43">
        <v>-19.5</v>
      </c>
      <c r="BF28" s="43"/>
      <c r="BG28" s="78">
        <f t="shared" si="10"/>
        <v>811.125</v>
      </c>
      <c r="BH28" s="44">
        <f t="shared" si="11"/>
        <v>12.812934631432546</v>
      </c>
      <c r="BI28" s="25">
        <f t="shared" si="31"/>
        <v>497.48571428571421</v>
      </c>
      <c r="BJ28" s="42">
        <f t="shared" si="32"/>
        <v>-0.60622666712334627</v>
      </c>
      <c r="BK28" s="42">
        <f t="shared" si="33"/>
        <v>42.935562421905189</v>
      </c>
      <c r="BL28" s="44">
        <f t="shared" si="34"/>
        <v>13.198655283740305</v>
      </c>
      <c r="BO28" s="38">
        <f t="shared" si="12"/>
        <v>38</v>
      </c>
      <c r="BS28" s="38">
        <f t="shared" si="3"/>
        <v>5</v>
      </c>
      <c r="BU28" s="82">
        <f t="shared" si="16"/>
        <v>-22.5</v>
      </c>
      <c r="BV28" s="82">
        <f t="shared" si="17"/>
        <v>-19.5</v>
      </c>
      <c r="BW28" s="82">
        <f t="shared" si="18"/>
        <v>585</v>
      </c>
      <c r="BX28" s="82">
        <f t="shared" si="19"/>
        <v>987</v>
      </c>
      <c r="BZ28" s="118">
        <f t="shared" si="13"/>
        <v>0.59270516717325228</v>
      </c>
      <c r="CA28" s="34" t="str">
        <f t="shared" si="14"/>
        <v>4.6</v>
      </c>
      <c r="CC28" s="82" t="str">
        <f t="shared" si="15"/>
        <v/>
      </c>
    </row>
    <row r="29" spans="1:81" ht="15" customHeight="1" x14ac:dyDescent="0.2">
      <c r="A29" s="56"/>
      <c r="B29" s="41">
        <v>19</v>
      </c>
      <c r="C29" s="37" t="str">
        <f t="shared" si="4"/>
        <v>35</v>
      </c>
      <c r="D29" s="46">
        <v>7</v>
      </c>
      <c r="E29" s="47" t="s">
        <v>94</v>
      </c>
      <c r="F29" s="47" t="s">
        <v>17</v>
      </c>
      <c r="G29" s="47" t="s">
        <v>15</v>
      </c>
      <c r="H29" s="48">
        <v>2</v>
      </c>
      <c r="I29" s="48">
        <v>1</v>
      </c>
      <c r="J29" s="48">
        <v>1</v>
      </c>
      <c r="K29" s="48" t="s">
        <v>94</v>
      </c>
      <c r="L29" s="49"/>
      <c r="M29" s="50" t="s">
        <v>2</v>
      </c>
      <c r="N29" s="50" t="s">
        <v>22</v>
      </c>
      <c r="O29" s="50"/>
      <c r="P29" s="47" t="s">
        <v>7</v>
      </c>
      <c r="Q29" s="47" t="s">
        <v>7</v>
      </c>
      <c r="R29" s="47"/>
      <c r="S29" s="86"/>
      <c r="T29" s="23">
        <v>686</v>
      </c>
      <c r="U29" s="24"/>
      <c r="V29" s="24"/>
      <c r="W29" s="24">
        <v>4.0999999999999996</v>
      </c>
      <c r="X29" s="24">
        <v>-18</v>
      </c>
      <c r="Y29" s="24"/>
      <c r="Z29" s="25">
        <f t="shared" si="20"/>
        <v>5</v>
      </c>
      <c r="AA29" s="25">
        <f t="shared" si="21"/>
        <v>-18</v>
      </c>
      <c r="AB29" s="25" t="str">
        <f t="shared" si="22"/>
        <v/>
      </c>
      <c r="AC29" s="122"/>
      <c r="AD29" s="24">
        <v>250</v>
      </c>
      <c r="AE29" s="24">
        <v>94</v>
      </c>
      <c r="AF29" s="24"/>
      <c r="AG29" s="25">
        <f t="shared" si="23"/>
        <v>542.52</v>
      </c>
      <c r="AH29" s="25">
        <f t="shared" si="24"/>
        <v>34.558571969526952</v>
      </c>
      <c r="AI29" s="74"/>
      <c r="AJ29" s="25">
        <f t="shared" si="25"/>
        <v>4</v>
      </c>
      <c r="AK29" s="25">
        <f t="shared" si="26"/>
        <v>-18</v>
      </c>
      <c r="AL29" s="25" t="str">
        <f t="shared" si="27"/>
        <v/>
      </c>
      <c r="AM29" s="24">
        <v>253</v>
      </c>
      <c r="AN29" s="24">
        <v>96</v>
      </c>
      <c r="AO29" s="24"/>
      <c r="AP29" s="42">
        <f t="shared" si="28"/>
        <v>1.2</v>
      </c>
      <c r="AQ29" s="42">
        <f t="shared" si="29"/>
        <v>2.1276595744680851</v>
      </c>
      <c r="AR29" s="42" t="str">
        <f t="shared" si="30"/>
        <v/>
      </c>
      <c r="AS29" s="74"/>
      <c r="AT29" s="24">
        <v>575</v>
      </c>
      <c r="AU29" s="24"/>
      <c r="AV29" s="24"/>
      <c r="AW29" s="24">
        <v>4</v>
      </c>
      <c r="AX29" s="24">
        <v>-23</v>
      </c>
      <c r="AY29" s="24"/>
      <c r="AZ29" s="74"/>
      <c r="BA29" s="24">
        <v>1011</v>
      </c>
      <c r="BB29" s="43"/>
      <c r="BC29" s="43"/>
      <c r="BD29" s="43">
        <v>4</v>
      </c>
      <c r="BE29" s="43">
        <v>-21</v>
      </c>
      <c r="BF29" s="43"/>
      <c r="BG29" s="78">
        <f t="shared" si="10"/>
        <v>820.25</v>
      </c>
      <c r="BH29" s="44">
        <f t="shared" si="11"/>
        <v>19.569970845481048</v>
      </c>
      <c r="BI29" s="25">
        <f t="shared" si="31"/>
        <v>539.48571428571427</v>
      </c>
      <c r="BJ29" s="42">
        <f t="shared" si="32"/>
        <v>-0.55929471987866175</v>
      </c>
      <c r="BK29" s="42">
        <f t="shared" si="33"/>
        <v>41.456573731438851</v>
      </c>
      <c r="BL29" s="44">
        <f t="shared" si="34"/>
        <v>19.960320605823696</v>
      </c>
      <c r="BO29" s="38">
        <f t="shared" si="12"/>
        <v>35</v>
      </c>
      <c r="BS29" s="38">
        <f t="shared" si="3"/>
        <v>5</v>
      </c>
      <c r="BU29" s="82">
        <f t="shared" si="16"/>
        <v>-23</v>
      </c>
      <c r="BV29" s="82">
        <f t="shared" si="17"/>
        <v>-21</v>
      </c>
      <c r="BW29" s="82">
        <f t="shared" si="18"/>
        <v>575</v>
      </c>
      <c r="BX29" s="82">
        <f t="shared" si="19"/>
        <v>1011</v>
      </c>
      <c r="BZ29" s="117">
        <f t="shared" si="13"/>
        <v>0.56874381800197826</v>
      </c>
      <c r="CA29" s="34" t="str">
        <f t="shared" si="14"/>
        <v>4.1</v>
      </c>
      <c r="CC29" s="82" t="str">
        <f t="shared" si="15"/>
        <v/>
      </c>
    </row>
    <row r="30" spans="1:81" ht="15" customHeight="1" x14ac:dyDescent="0.2">
      <c r="A30" s="56"/>
      <c r="B30" s="41">
        <v>20</v>
      </c>
      <c r="C30" s="37" t="str">
        <f t="shared" si="4"/>
        <v>28</v>
      </c>
      <c r="D30" s="46">
        <v>7</v>
      </c>
      <c r="E30" s="47" t="s">
        <v>94</v>
      </c>
      <c r="F30" s="47" t="s">
        <v>17</v>
      </c>
      <c r="G30" s="47" t="s">
        <v>15</v>
      </c>
      <c r="H30" s="48">
        <v>2</v>
      </c>
      <c r="I30" s="48">
        <v>1</v>
      </c>
      <c r="J30" s="48">
        <v>1</v>
      </c>
      <c r="K30" s="48" t="s">
        <v>94</v>
      </c>
      <c r="L30" s="49"/>
      <c r="M30" s="50" t="s">
        <v>2</v>
      </c>
      <c r="N30" s="50" t="s">
        <v>22</v>
      </c>
      <c r="O30" s="50"/>
      <c r="P30" s="47" t="s">
        <v>7</v>
      </c>
      <c r="Q30" s="47" t="s">
        <v>7</v>
      </c>
      <c r="R30" s="47"/>
      <c r="S30" s="86"/>
      <c r="T30" s="23">
        <v>706</v>
      </c>
      <c r="U30" s="24"/>
      <c r="V30" s="24"/>
      <c r="W30" s="24">
        <v>5</v>
      </c>
      <c r="X30" s="24">
        <v>-18</v>
      </c>
      <c r="Y30" s="24"/>
      <c r="Z30" s="25">
        <f t="shared" si="20"/>
        <v>5</v>
      </c>
      <c r="AA30" s="25">
        <f t="shared" si="21"/>
        <v>-18</v>
      </c>
      <c r="AB30" s="25" t="str">
        <f t="shared" si="22"/>
        <v/>
      </c>
      <c r="AC30" s="122"/>
      <c r="AD30" s="24">
        <v>379</v>
      </c>
      <c r="AE30" s="24">
        <v>126</v>
      </c>
      <c r="AF30" s="24"/>
      <c r="AG30" s="25">
        <f t="shared" si="23"/>
        <v>779.88</v>
      </c>
      <c r="AH30" s="25">
        <f t="shared" si="24"/>
        <v>28.349771558203074</v>
      </c>
      <c r="AI30" s="74"/>
      <c r="AJ30" s="25">
        <f t="shared" si="25"/>
        <v>4</v>
      </c>
      <c r="AK30" s="25">
        <f t="shared" si="26"/>
        <v>-18</v>
      </c>
      <c r="AL30" s="25" t="str">
        <f t="shared" si="27"/>
        <v/>
      </c>
      <c r="AM30" s="24">
        <v>384</v>
      </c>
      <c r="AN30" s="24">
        <v>129</v>
      </c>
      <c r="AO30" s="24"/>
      <c r="AP30" s="42">
        <f t="shared" si="28"/>
        <v>1.3192612137203166</v>
      </c>
      <c r="AQ30" s="42">
        <f t="shared" si="29"/>
        <v>2.3809523809523809</v>
      </c>
      <c r="AR30" s="42" t="str">
        <f t="shared" si="30"/>
        <v/>
      </c>
      <c r="AS30" s="74"/>
      <c r="AT30" s="24">
        <v>545</v>
      </c>
      <c r="AU30" s="24"/>
      <c r="AV30" s="24"/>
      <c r="AW30" s="24">
        <v>4</v>
      </c>
      <c r="AX30" s="24">
        <v>-23.8</v>
      </c>
      <c r="AY30" s="24"/>
      <c r="AZ30" s="74"/>
      <c r="BA30" s="24">
        <v>1289</v>
      </c>
      <c r="BB30" s="43"/>
      <c r="BC30" s="43"/>
      <c r="BD30" s="43">
        <v>4</v>
      </c>
      <c r="BE30" s="43">
        <v>-25</v>
      </c>
      <c r="BF30" s="43"/>
      <c r="BG30" s="78">
        <f t="shared" si="10"/>
        <v>963.5</v>
      </c>
      <c r="BH30" s="121">
        <f t="shared" si="11"/>
        <v>36.473087818696889</v>
      </c>
      <c r="BI30" s="25">
        <f t="shared" si="31"/>
        <v>777.77142857142849</v>
      </c>
      <c r="BJ30" s="42">
        <f t="shared" si="32"/>
        <v>-0.27037126590905119</v>
      </c>
      <c r="BK30" s="42">
        <f t="shared" si="33"/>
        <v>38.759670699164715</v>
      </c>
      <c r="BL30" s="44">
        <f t="shared" si="34"/>
        <v>36.719516838397638</v>
      </c>
      <c r="BO30" s="38">
        <f t="shared" si="12"/>
        <v>28</v>
      </c>
      <c r="BS30" s="38">
        <f t="shared" si="3"/>
        <v>5</v>
      </c>
      <c r="BU30" s="82">
        <f t="shared" si="16"/>
        <v>-23.8</v>
      </c>
      <c r="BV30" s="82">
        <f t="shared" si="17"/>
        <v>-25</v>
      </c>
      <c r="BW30" s="82">
        <f t="shared" si="18"/>
        <v>545</v>
      </c>
      <c r="BX30" s="82">
        <f t="shared" si="19"/>
        <v>1289</v>
      </c>
      <c r="BZ30" s="117">
        <f t="shared" si="13"/>
        <v>0.42280837858805276</v>
      </c>
      <c r="CA30" s="34" t="str">
        <f t="shared" si="14"/>
        <v>-18.0</v>
      </c>
      <c r="CC30" s="82" t="str">
        <f t="shared" si="15"/>
        <v/>
      </c>
    </row>
    <row r="31" spans="1:81" ht="15" customHeight="1" x14ac:dyDescent="0.2">
      <c r="A31" s="56"/>
      <c r="B31" s="41">
        <v>21</v>
      </c>
      <c r="C31" s="37" t="str">
        <f t="shared" si="4"/>
        <v>43</v>
      </c>
      <c r="D31" s="46">
        <v>7</v>
      </c>
      <c r="E31" s="47" t="s">
        <v>95</v>
      </c>
      <c r="F31" s="47" t="s">
        <v>16</v>
      </c>
      <c r="G31" s="47" t="s">
        <v>14</v>
      </c>
      <c r="H31" s="48">
        <v>2</v>
      </c>
      <c r="I31" s="48">
        <v>1</v>
      </c>
      <c r="J31" s="48">
        <v>1</v>
      </c>
      <c r="K31" s="48" t="s">
        <v>94</v>
      </c>
      <c r="L31" s="49"/>
      <c r="M31" s="50" t="s">
        <v>2</v>
      </c>
      <c r="N31" s="50" t="s">
        <v>22</v>
      </c>
      <c r="O31" s="50"/>
      <c r="P31" s="47" t="s">
        <v>7</v>
      </c>
      <c r="Q31" s="47" t="s">
        <v>7</v>
      </c>
      <c r="R31" s="47"/>
      <c r="S31" s="86"/>
      <c r="T31" s="23">
        <v>730</v>
      </c>
      <c r="U31" s="24"/>
      <c r="V31" s="24"/>
      <c r="W31" s="24">
        <v>5</v>
      </c>
      <c r="X31" s="24">
        <v>-18</v>
      </c>
      <c r="Y31" s="24"/>
      <c r="Z31" s="25">
        <f t="shared" si="20"/>
        <v>5</v>
      </c>
      <c r="AA31" s="25">
        <f t="shared" si="21"/>
        <v>-18</v>
      </c>
      <c r="AB31" s="25" t="str">
        <f t="shared" si="22"/>
        <v/>
      </c>
      <c r="AC31" s="122">
        <v>38</v>
      </c>
      <c r="AD31" s="24">
        <v>178</v>
      </c>
      <c r="AE31" s="24">
        <v>60</v>
      </c>
      <c r="AF31" s="24"/>
      <c r="AG31" s="25">
        <f t="shared" si="23"/>
        <v>405.24</v>
      </c>
      <c r="AH31" s="25">
        <f t="shared" si="24"/>
        <v>43.123854818481021</v>
      </c>
      <c r="AI31" s="74"/>
      <c r="AJ31" s="25">
        <f t="shared" si="25"/>
        <v>4</v>
      </c>
      <c r="AK31" s="25">
        <f t="shared" si="26"/>
        <v>-18</v>
      </c>
      <c r="AL31" s="25" t="str">
        <f t="shared" si="27"/>
        <v/>
      </c>
      <c r="AM31" s="24">
        <v>180</v>
      </c>
      <c r="AN31" s="24">
        <v>61</v>
      </c>
      <c r="AO31" s="24"/>
      <c r="AP31" s="42">
        <f t="shared" si="28"/>
        <v>1.1235955056179776</v>
      </c>
      <c r="AQ31" s="42">
        <f t="shared" si="29"/>
        <v>1.6666666666666667</v>
      </c>
      <c r="AR31" s="42" t="str">
        <f t="shared" si="30"/>
        <v/>
      </c>
      <c r="AS31" s="74"/>
      <c r="AT31" s="24">
        <v>392</v>
      </c>
      <c r="AU31" s="24"/>
      <c r="AV31" s="24"/>
      <c r="AW31" s="24">
        <v>4</v>
      </c>
      <c r="AX31" s="24">
        <v>-18.399999999999999</v>
      </c>
      <c r="AY31" s="24"/>
      <c r="AZ31" s="74"/>
      <c r="BA31" s="24">
        <v>1245</v>
      </c>
      <c r="BB31" s="43"/>
      <c r="BC31" s="43"/>
      <c r="BD31" s="43">
        <v>4</v>
      </c>
      <c r="BE31" s="43">
        <v>-22.5</v>
      </c>
      <c r="BF31" s="43"/>
      <c r="BG31" s="78">
        <f t="shared" si="10"/>
        <v>871.8125</v>
      </c>
      <c r="BH31" s="44">
        <f t="shared" si="11"/>
        <v>19.426369863013697</v>
      </c>
      <c r="BI31" s="25">
        <f t="shared" si="31"/>
        <v>402.47428571428571</v>
      </c>
      <c r="BJ31" s="42">
        <f t="shared" si="32"/>
        <v>-0.68248797890491952</v>
      </c>
      <c r="BK31" s="42">
        <f t="shared" si="33"/>
        <v>51.681001126936202</v>
      </c>
      <c r="BL31" s="44">
        <f t="shared" si="34"/>
        <v>19.843185041027354</v>
      </c>
      <c r="BO31" s="38">
        <f t="shared" si="12"/>
        <v>43</v>
      </c>
      <c r="BR31" s="34" t="s">
        <v>116</v>
      </c>
      <c r="BS31" s="38">
        <f t="shared" si="3"/>
        <v>5</v>
      </c>
      <c r="BU31" s="82">
        <f t="shared" si="16"/>
        <v>-18.399999999999999</v>
      </c>
      <c r="BV31" s="82">
        <f t="shared" si="17"/>
        <v>-22.5</v>
      </c>
      <c r="BW31" s="82">
        <f t="shared" si="18"/>
        <v>392</v>
      </c>
      <c r="BX31" s="82">
        <f t="shared" si="19"/>
        <v>1245</v>
      </c>
      <c r="BZ31" s="117">
        <f t="shared" si="13"/>
        <v>0.314859437751004</v>
      </c>
      <c r="CA31" s="34" t="str">
        <f t="shared" si="14"/>
        <v>-18.0</v>
      </c>
      <c r="CC31" s="82">
        <f t="shared" si="15"/>
        <v>19.426369863013697</v>
      </c>
    </row>
    <row r="32" spans="1:81" ht="15" customHeight="1" x14ac:dyDescent="0.2">
      <c r="A32" s="56"/>
      <c r="B32" s="41">
        <v>22</v>
      </c>
      <c r="C32" s="37" t="str">
        <f t="shared" si="4"/>
        <v>45</v>
      </c>
      <c r="D32" s="18">
        <v>7</v>
      </c>
      <c r="E32" s="19" t="s">
        <v>95</v>
      </c>
      <c r="F32" s="19" t="s">
        <v>16</v>
      </c>
      <c r="G32" s="19" t="s">
        <v>15</v>
      </c>
      <c r="H32" s="20">
        <v>2</v>
      </c>
      <c r="I32" s="20">
        <v>1</v>
      </c>
      <c r="J32" s="20">
        <v>1</v>
      </c>
      <c r="K32" s="20" t="s">
        <v>94</v>
      </c>
      <c r="L32" s="21"/>
      <c r="M32" s="22" t="s">
        <v>2</v>
      </c>
      <c r="N32" s="22" t="s">
        <v>22</v>
      </c>
      <c r="O32" s="22"/>
      <c r="P32" s="19" t="s">
        <v>7</v>
      </c>
      <c r="Q32" s="19" t="s">
        <v>7</v>
      </c>
      <c r="R32" s="19"/>
      <c r="S32" s="86"/>
      <c r="T32" s="23">
        <v>838</v>
      </c>
      <c r="U32" s="24"/>
      <c r="V32" s="24"/>
      <c r="W32" s="24">
        <v>3.7</v>
      </c>
      <c r="X32" s="24">
        <v>-18</v>
      </c>
      <c r="Y32" s="24"/>
      <c r="Z32" s="25">
        <f t="shared" si="20"/>
        <v>5</v>
      </c>
      <c r="AA32" s="25">
        <f t="shared" si="21"/>
        <v>-18</v>
      </c>
      <c r="AB32" s="25" t="str">
        <f t="shared" si="22"/>
        <v/>
      </c>
      <c r="AC32" s="122">
        <v>440</v>
      </c>
      <c r="AD32" s="24">
        <v>167</v>
      </c>
      <c r="AE32" s="24">
        <v>95</v>
      </c>
      <c r="AF32" s="24"/>
      <c r="AG32" s="25">
        <f t="shared" si="23"/>
        <v>490.05000000000007</v>
      </c>
      <c r="AH32" s="25">
        <f t="shared" si="24"/>
        <v>44.732953248747727</v>
      </c>
      <c r="AI32" s="74"/>
      <c r="AJ32" s="25">
        <f t="shared" si="25"/>
        <v>4</v>
      </c>
      <c r="AK32" s="25">
        <f t="shared" si="26"/>
        <v>-18</v>
      </c>
      <c r="AL32" s="25" t="str">
        <f t="shared" si="27"/>
        <v/>
      </c>
      <c r="AM32" s="24">
        <v>169</v>
      </c>
      <c r="AN32" s="24">
        <v>97</v>
      </c>
      <c r="AO32" s="24"/>
      <c r="AP32" s="42">
        <f t="shared" si="28"/>
        <v>1.1976047904191618</v>
      </c>
      <c r="AQ32" s="42">
        <f t="shared" si="29"/>
        <v>2.1052631578947367</v>
      </c>
      <c r="AR32" s="42" t="str">
        <f t="shared" si="30"/>
        <v/>
      </c>
      <c r="AS32" s="74"/>
      <c r="AT32" s="24">
        <v>637</v>
      </c>
      <c r="AU32" s="24"/>
      <c r="AV32" s="24"/>
      <c r="AW32" s="24">
        <v>4</v>
      </c>
      <c r="AX32" s="24">
        <v>-20.399999999999999</v>
      </c>
      <c r="AY32" s="24"/>
      <c r="AZ32" s="74"/>
      <c r="BA32" s="24">
        <v>1280</v>
      </c>
      <c r="BB32" s="43"/>
      <c r="BC32" s="43"/>
      <c r="BD32" s="43">
        <v>4</v>
      </c>
      <c r="BE32" s="43">
        <v>-22.4</v>
      </c>
      <c r="BF32" s="43"/>
      <c r="BG32" s="78">
        <f t="shared" si="10"/>
        <v>998.6875</v>
      </c>
      <c r="BH32" s="44">
        <f t="shared" si="11"/>
        <v>19.175119331742245</v>
      </c>
      <c r="BI32" s="25">
        <f t="shared" si="31"/>
        <v>485.25714285714287</v>
      </c>
      <c r="BJ32" s="42">
        <f t="shared" si="32"/>
        <v>-0.97803431136765651</v>
      </c>
      <c r="BK32" s="42">
        <f t="shared" si="33"/>
        <v>53.602488762505061</v>
      </c>
      <c r="BL32" s="44">
        <f t="shared" si="34"/>
        <v>19.827744134030837</v>
      </c>
      <c r="BO32" s="38">
        <f t="shared" si="12"/>
        <v>45</v>
      </c>
      <c r="BS32" s="38">
        <f t="shared" si="3"/>
        <v>5</v>
      </c>
      <c r="BU32" s="82">
        <f t="shared" si="16"/>
        <v>-20.399999999999999</v>
      </c>
      <c r="BV32" s="82">
        <f t="shared" si="17"/>
        <v>-22.4</v>
      </c>
      <c r="BW32" s="82">
        <f t="shared" si="18"/>
        <v>637</v>
      </c>
      <c r="BX32" s="82">
        <f t="shared" si="19"/>
        <v>1280</v>
      </c>
      <c r="BZ32" s="117">
        <f t="shared" si="13"/>
        <v>0.49765625000000002</v>
      </c>
      <c r="CA32" s="34" t="str">
        <f t="shared" si="14"/>
        <v>3.7</v>
      </c>
      <c r="CC32" s="82" t="str">
        <f t="shared" si="15"/>
        <v/>
      </c>
    </row>
    <row r="33" spans="1:81" ht="15" customHeight="1" x14ac:dyDescent="0.2">
      <c r="A33" s="56"/>
      <c r="B33" s="41">
        <v>23</v>
      </c>
      <c r="C33" s="37" t="str">
        <f t="shared" si="4"/>
        <v>43</v>
      </c>
      <c r="D33" s="18">
        <v>7</v>
      </c>
      <c r="E33" s="19" t="s">
        <v>95</v>
      </c>
      <c r="F33" s="19" t="s">
        <v>16</v>
      </c>
      <c r="G33" s="19" t="s">
        <v>15</v>
      </c>
      <c r="H33" s="20">
        <v>2</v>
      </c>
      <c r="I33" s="20">
        <v>1</v>
      </c>
      <c r="J33" s="20">
        <v>1</v>
      </c>
      <c r="K33" s="20" t="s">
        <v>94</v>
      </c>
      <c r="L33" s="21"/>
      <c r="M33" s="22" t="s">
        <v>2</v>
      </c>
      <c r="N33" s="22" t="s">
        <v>22</v>
      </c>
      <c r="O33" s="22"/>
      <c r="P33" s="19" t="s">
        <v>7</v>
      </c>
      <c r="Q33" s="19" t="s">
        <v>7</v>
      </c>
      <c r="R33" s="19"/>
      <c r="S33" s="86"/>
      <c r="T33" s="23">
        <v>787</v>
      </c>
      <c r="U33" s="24"/>
      <c r="V33" s="24"/>
      <c r="W33" s="24">
        <v>5</v>
      </c>
      <c r="X33" s="24">
        <v>-18.600000000000001</v>
      </c>
      <c r="Y33" s="24"/>
      <c r="Z33" s="25">
        <f t="shared" si="20"/>
        <v>5</v>
      </c>
      <c r="AA33" s="25">
        <f t="shared" si="21"/>
        <v>-18</v>
      </c>
      <c r="AB33" s="25" t="str">
        <f t="shared" si="22"/>
        <v/>
      </c>
      <c r="AC33" s="122">
        <v>40</v>
      </c>
      <c r="AD33" s="24">
        <v>205</v>
      </c>
      <c r="AE33" s="24">
        <v>70</v>
      </c>
      <c r="AF33" s="24"/>
      <c r="AG33" s="25">
        <f t="shared" si="23"/>
        <v>469.26</v>
      </c>
      <c r="AH33" s="25">
        <f t="shared" si="24"/>
        <v>43.027042740889804</v>
      </c>
      <c r="AI33" s="74"/>
      <c r="AJ33" s="25">
        <f t="shared" si="25"/>
        <v>4</v>
      </c>
      <c r="AK33" s="25">
        <f t="shared" si="26"/>
        <v>-18</v>
      </c>
      <c r="AL33" s="25" t="str">
        <f t="shared" si="27"/>
        <v/>
      </c>
      <c r="AM33" s="24">
        <v>207</v>
      </c>
      <c r="AN33" s="24">
        <v>72</v>
      </c>
      <c r="AO33" s="24"/>
      <c r="AP33" s="42">
        <f t="shared" si="28"/>
        <v>0.97560975609756095</v>
      </c>
      <c r="AQ33" s="42">
        <f t="shared" si="29"/>
        <v>2.8571428571428572</v>
      </c>
      <c r="AR33" s="42" t="str">
        <f t="shared" si="30"/>
        <v/>
      </c>
      <c r="AS33" s="74"/>
      <c r="AT33" s="24">
        <v>606</v>
      </c>
      <c r="AU33" s="24"/>
      <c r="AV33" s="24"/>
      <c r="AW33" s="24">
        <v>4</v>
      </c>
      <c r="AX33" s="24">
        <v>-20</v>
      </c>
      <c r="AY33" s="24"/>
      <c r="AZ33" s="74"/>
      <c r="BA33" s="24">
        <v>1190</v>
      </c>
      <c r="BB33" s="43"/>
      <c r="BC33" s="43"/>
      <c r="BD33" s="43">
        <v>4</v>
      </c>
      <c r="BE33" s="43">
        <v>-21.5</v>
      </c>
      <c r="BF33" s="43"/>
      <c r="BG33" s="78">
        <f t="shared" si="10"/>
        <v>934.5</v>
      </c>
      <c r="BH33" s="44">
        <f t="shared" si="11"/>
        <v>18.742058449809402</v>
      </c>
      <c r="BI33" s="25">
        <f t="shared" si="31"/>
        <v>467.84571428571428</v>
      </c>
      <c r="BJ33" s="42">
        <f t="shared" si="32"/>
        <v>-0.30138637733574375</v>
      </c>
      <c r="BK33" s="42">
        <f t="shared" si="33"/>
        <v>51.175431435926853</v>
      </c>
      <c r="BL33" s="44">
        <f t="shared" si="34"/>
        <v>18.937831131242042</v>
      </c>
      <c r="BO33" s="38">
        <f t="shared" si="12"/>
        <v>43</v>
      </c>
      <c r="BS33" s="38">
        <f t="shared" si="3"/>
        <v>5</v>
      </c>
      <c r="BU33" s="82">
        <f t="shared" si="16"/>
        <v>-20</v>
      </c>
      <c r="BV33" s="82">
        <f t="shared" si="17"/>
        <v>-21.5</v>
      </c>
      <c r="BW33" s="82">
        <f t="shared" si="18"/>
        <v>606</v>
      </c>
      <c r="BX33" s="82">
        <f t="shared" si="19"/>
        <v>1190</v>
      </c>
      <c r="BZ33" s="117">
        <f t="shared" si="13"/>
        <v>0.50924369747899156</v>
      </c>
      <c r="CA33" s="34" t="str">
        <f t="shared" si="14"/>
        <v>-18.6</v>
      </c>
      <c r="CC33" s="82" t="str">
        <f t="shared" si="15"/>
        <v/>
      </c>
    </row>
    <row r="34" spans="1:81" ht="15" customHeight="1" x14ac:dyDescent="0.2">
      <c r="A34" s="56"/>
      <c r="B34" s="41">
        <v>24</v>
      </c>
      <c r="C34" s="37" t="str">
        <f t="shared" si="4"/>
        <v>44</v>
      </c>
      <c r="D34" s="18">
        <v>7</v>
      </c>
      <c r="E34" s="19" t="s">
        <v>95</v>
      </c>
      <c r="F34" s="19" t="s">
        <v>16</v>
      </c>
      <c r="G34" s="19" t="s">
        <v>14</v>
      </c>
      <c r="H34" s="20">
        <v>2</v>
      </c>
      <c r="I34" s="20">
        <v>1</v>
      </c>
      <c r="J34" s="20">
        <v>1</v>
      </c>
      <c r="K34" s="20" t="s">
        <v>94</v>
      </c>
      <c r="L34" s="21"/>
      <c r="M34" s="22" t="s">
        <v>2</v>
      </c>
      <c r="N34" s="22" t="s">
        <v>22</v>
      </c>
      <c r="O34" s="22"/>
      <c r="P34" s="19" t="s">
        <v>7</v>
      </c>
      <c r="Q34" s="19" t="s">
        <v>7</v>
      </c>
      <c r="R34" s="19"/>
      <c r="S34" s="86"/>
      <c r="T34" s="23">
        <v>798</v>
      </c>
      <c r="U34" s="24"/>
      <c r="V34" s="24"/>
      <c r="W34" s="24">
        <v>5</v>
      </c>
      <c r="X34" s="24">
        <v>-18.100000000000001</v>
      </c>
      <c r="Y34" s="24"/>
      <c r="Z34" s="25">
        <f t="shared" si="20"/>
        <v>5</v>
      </c>
      <c r="AA34" s="25">
        <f t="shared" si="21"/>
        <v>-18</v>
      </c>
      <c r="AB34" s="25" t="str">
        <f t="shared" si="22"/>
        <v/>
      </c>
      <c r="AC34" s="53">
        <v>41</v>
      </c>
      <c r="AD34" s="24">
        <v>217</v>
      </c>
      <c r="AE34" s="24">
        <v>60</v>
      </c>
      <c r="AF34" s="24"/>
      <c r="AG34" s="25">
        <f t="shared" si="23"/>
        <v>456.72</v>
      </c>
      <c r="AH34" s="25">
        <f t="shared" si="24"/>
        <v>44.274607816992329</v>
      </c>
      <c r="AI34" s="74"/>
      <c r="AJ34" s="25">
        <f t="shared" si="25"/>
        <v>4</v>
      </c>
      <c r="AK34" s="25">
        <f t="shared" si="26"/>
        <v>-18</v>
      </c>
      <c r="AL34" s="25" t="str">
        <f t="shared" si="27"/>
        <v/>
      </c>
      <c r="AM34" s="24">
        <v>219</v>
      </c>
      <c r="AN34" s="24">
        <v>61</v>
      </c>
      <c r="AO34" s="24"/>
      <c r="AP34" s="42">
        <f t="shared" si="28"/>
        <v>0.92165898617511521</v>
      </c>
      <c r="AQ34" s="42">
        <f t="shared" si="29"/>
        <v>1.6666666666666667</v>
      </c>
      <c r="AR34" s="42" t="str">
        <f t="shared" si="30"/>
        <v/>
      </c>
      <c r="AS34" s="74"/>
      <c r="AT34" s="24">
        <v>420</v>
      </c>
      <c r="AU34" s="24"/>
      <c r="AV34" s="24"/>
      <c r="AW34" s="24">
        <v>4</v>
      </c>
      <c r="AX34" s="24">
        <v>-18.600000000000001</v>
      </c>
      <c r="AY34" s="24"/>
      <c r="AZ34" s="74"/>
      <c r="BA34" s="24">
        <v>1340</v>
      </c>
      <c r="BB34" s="43"/>
      <c r="BC34" s="43"/>
      <c r="BD34" s="43">
        <v>4</v>
      </c>
      <c r="BE34" s="43">
        <v>-20.7</v>
      </c>
      <c r="BF34" s="43"/>
      <c r="BG34" s="78">
        <f t="shared" si="10"/>
        <v>937.5</v>
      </c>
      <c r="BH34" s="44">
        <f t="shared" si="11"/>
        <v>17.481203007518797</v>
      </c>
      <c r="BI34" s="25">
        <f t="shared" si="31"/>
        <v>453.95428571428567</v>
      </c>
      <c r="BJ34" s="42">
        <f t="shared" si="32"/>
        <v>-0.60556014313241213</v>
      </c>
      <c r="BK34" s="42">
        <f t="shared" si="33"/>
        <v>52.184805376811241</v>
      </c>
      <c r="BL34" s="44">
        <f t="shared" si="34"/>
        <v>17.866217115949304</v>
      </c>
      <c r="BO34" s="38">
        <f t="shared" si="12"/>
        <v>44</v>
      </c>
      <c r="BS34" s="38">
        <f t="shared" si="3"/>
        <v>5</v>
      </c>
      <c r="BU34" s="82">
        <f t="shared" si="16"/>
        <v>-18.600000000000001</v>
      </c>
      <c r="BV34" s="82">
        <f t="shared" si="17"/>
        <v>-20.7</v>
      </c>
      <c r="BW34" s="82">
        <f t="shared" si="18"/>
        <v>420</v>
      </c>
      <c r="BX34" s="82">
        <f t="shared" si="19"/>
        <v>1340</v>
      </c>
      <c r="BZ34" s="117">
        <f t="shared" si="13"/>
        <v>0.31343283582089554</v>
      </c>
      <c r="CA34" s="34" t="str">
        <f t="shared" si="14"/>
        <v>-18.1</v>
      </c>
      <c r="CC34" s="82">
        <f t="shared" si="15"/>
        <v>17.481203007518797</v>
      </c>
    </row>
    <row r="35" spans="1:81" ht="15" customHeight="1" x14ac:dyDescent="0.2">
      <c r="A35" s="56"/>
      <c r="B35" s="41">
        <v>25</v>
      </c>
      <c r="C35" s="37" t="str">
        <f t="shared" si="4"/>
        <v>37</v>
      </c>
      <c r="D35" s="18">
        <v>7</v>
      </c>
      <c r="E35" s="19" t="s">
        <v>94</v>
      </c>
      <c r="F35" s="19" t="s">
        <v>16</v>
      </c>
      <c r="G35" s="19" t="s">
        <v>14</v>
      </c>
      <c r="H35" s="20">
        <v>2</v>
      </c>
      <c r="I35" s="20">
        <v>1</v>
      </c>
      <c r="J35" s="20">
        <v>1</v>
      </c>
      <c r="K35" s="20" t="s">
        <v>94</v>
      </c>
      <c r="L35" s="21"/>
      <c r="M35" s="22" t="s">
        <v>2</v>
      </c>
      <c r="N35" s="22" t="s">
        <v>22</v>
      </c>
      <c r="O35" s="22"/>
      <c r="P35" s="19" t="s">
        <v>7</v>
      </c>
      <c r="Q35" s="19" t="s">
        <v>7</v>
      </c>
      <c r="R35" s="19"/>
      <c r="S35" s="86"/>
      <c r="T35" s="23">
        <v>642</v>
      </c>
      <c r="U35" s="24">
        <v>48.6</v>
      </c>
      <c r="V35" s="24"/>
      <c r="W35" s="24">
        <v>5</v>
      </c>
      <c r="X35" s="24">
        <v>-21</v>
      </c>
      <c r="Y35" s="24"/>
      <c r="Z35" s="25">
        <f t="shared" si="20"/>
        <v>5</v>
      </c>
      <c r="AA35" s="25">
        <f t="shared" si="21"/>
        <v>-18</v>
      </c>
      <c r="AB35" s="25" t="str">
        <f t="shared" si="22"/>
        <v/>
      </c>
      <c r="AC35" s="53">
        <v>48.6</v>
      </c>
      <c r="AD35" s="24">
        <v>219</v>
      </c>
      <c r="AE35" s="24">
        <v>81</v>
      </c>
      <c r="AF35" s="24"/>
      <c r="AG35" s="25">
        <f>EnergyLabel("AV2011",AD35:AF35,M35:O35,P35:R35,F35,E35,D35,T35,0)</f>
        <v>432.46500000000003</v>
      </c>
      <c r="AH35" s="25">
        <f>EnergyLabel("EI2011",AD35:AF35,M35:O35,P35:R35,F35,E35,D35,T35*365/1000,0)</f>
        <v>36.669909339505736</v>
      </c>
      <c r="AI35" s="74"/>
      <c r="AJ35" s="25">
        <f>GetReferenceTemperature(M35,"AV_NG")</f>
        <v>4</v>
      </c>
      <c r="AK35" s="25">
        <f t="shared" si="26"/>
        <v>-18</v>
      </c>
      <c r="AL35" s="25" t="str">
        <f t="shared" si="27"/>
        <v/>
      </c>
      <c r="AM35" s="24">
        <v>223.1</v>
      </c>
      <c r="AN35" s="24">
        <v>82.4</v>
      </c>
      <c r="AO35" s="24"/>
      <c r="AP35" s="42">
        <f t="shared" si="28"/>
        <v>1.8721461187214585</v>
      </c>
      <c r="AQ35" s="42">
        <f t="shared" si="29"/>
        <v>1.7283950617284023</v>
      </c>
      <c r="AR35" s="42" t="str">
        <f t="shared" si="30"/>
        <v/>
      </c>
      <c r="AS35" s="74"/>
      <c r="AT35" s="24">
        <v>463</v>
      </c>
      <c r="AU35" s="24">
        <v>38.5</v>
      </c>
      <c r="AV35" s="24"/>
      <c r="AW35" s="24">
        <v>4</v>
      </c>
      <c r="AX35" s="24">
        <v>-24.5</v>
      </c>
      <c r="AY35" s="24"/>
      <c r="AZ35" s="74"/>
      <c r="BA35" s="24">
        <v>985</v>
      </c>
      <c r="BB35" s="43">
        <v>72.7</v>
      </c>
      <c r="BC35" s="43"/>
      <c r="BD35" s="43">
        <v>4</v>
      </c>
      <c r="BE35" s="43">
        <v>-21.3</v>
      </c>
      <c r="BF35" s="43"/>
      <c r="BG35" s="78">
        <f t="shared" si="10"/>
        <v>756.625</v>
      </c>
      <c r="BH35" s="44">
        <f>IF(AND(ISNUMBER(BG35),ISNUMBER(T35)),(BG35-T35)/T35*100,"not complete")</f>
        <v>17.854361370716511</v>
      </c>
      <c r="BI35" s="25">
        <f>EnergyLabel("AV_NG",AM35:AO35,M35:O35,P35:R35,F35,E35,D35,T35, f_Cons)</f>
        <v>431.00619047619057</v>
      </c>
      <c r="BJ35" s="42">
        <f t="shared" si="32"/>
        <v>-0.33732429764477212</v>
      </c>
      <c r="BK35" s="42">
        <f>EnergyLabel("EI_NG",AM35:AO35,M35:O35,P35:R35,F35,E35,D35,BG35*365/1000,f_Cons)</f>
        <v>43.293881606663042</v>
      </c>
      <c r="BL35" s="44">
        <f t="shared" si="34"/>
        <v>18.06378141224657</v>
      </c>
      <c r="BO35" s="38">
        <f t="shared" si="12"/>
        <v>37</v>
      </c>
      <c r="BS35" s="38">
        <f t="shared" si="3"/>
        <v>5</v>
      </c>
      <c r="BU35" s="82">
        <f t="shared" si="16"/>
        <v>-24.5</v>
      </c>
      <c r="BV35" s="82">
        <f t="shared" si="17"/>
        <v>-21.3</v>
      </c>
      <c r="BW35" s="82">
        <f t="shared" si="18"/>
        <v>463</v>
      </c>
      <c r="BX35" s="82">
        <f t="shared" si="19"/>
        <v>985</v>
      </c>
      <c r="BZ35" s="117">
        <f t="shared" si="13"/>
        <v>0.4700507614213198</v>
      </c>
      <c r="CA35" s="34" t="str">
        <f t="shared" si="14"/>
        <v>-21.0</v>
      </c>
      <c r="CC35" s="82" t="str">
        <f t="shared" si="15"/>
        <v/>
      </c>
    </row>
    <row r="36" spans="1:81" s="38" customFormat="1" ht="15" customHeight="1" x14ac:dyDescent="0.2">
      <c r="B36" s="38" t="s">
        <v>99</v>
      </c>
      <c r="C36" s="39"/>
      <c r="D36" s="26"/>
      <c r="E36" s="27"/>
      <c r="F36" s="27"/>
      <c r="G36" s="27"/>
      <c r="H36" s="28"/>
      <c r="I36" s="28"/>
      <c r="J36" s="28"/>
      <c r="K36" s="28"/>
      <c r="L36" s="29"/>
      <c r="M36" s="30"/>
      <c r="N36" s="30"/>
      <c r="O36" s="30"/>
      <c r="P36" s="27"/>
      <c r="Q36" s="27"/>
      <c r="R36" s="27"/>
      <c r="S36" s="86"/>
      <c r="T36" s="31"/>
      <c r="U36" s="32"/>
      <c r="V36" s="32"/>
      <c r="W36" s="32"/>
      <c r="X36" s="32"/>
      <c r="Y36" s="32"/>
      <c r="Z36" s="33"/>
      <c r="AA36" s="33"/>
      <c r="AB36" s="33"/>
      <c r="AC36" s="55"/>
      <c r="AD36" s="32"/>
      <c r="AE36" s="32"/>
      <c r="AF36" s="32"/>
      <c r="AG36" s="33"/>
      <c r="AH36" s="33"/>
      <c r="AI36" s="74"/>
      <c r="AJ36" s="33"/>
      <c r="AK36" s="33"/>
      <c r="AL36" s="33"/>
      <c r="AM36" s="32"/>
      <c r="AN36" s="32"/>
      <c r="AO36" s="32"/>
      <c r="AP36" s="13">
        <v>0</v>
      </c>
      <c r="AQ36" s="13"/>
      <c r="AR36" s="13"/>
      <c r="AS36" s="73"/>
      <c r="AT36" s="13"/>
      <c r="AU36" s="13"/>
      <c r="AV36" s="13"/>
      <c r="AW36" s="13"/>
      <c r="AX36" s="13"/>
      <c r="AY36" s="13"/>
      <c r="AZ36" s="73"/>
      <c r="BA36" s="13"/>
      <c r="BB36" s="13"/>
      <c r="BC36" s="13"/>
      <c r="BD36" s="13"/>
      <c r="BE36" s="13"/>
      <c r="BF36" s="13"/>
      <c r="BG36" s="79"/>
      <c r="BH36" s="13">
        <v>0</v>
      </c>
      <c r="BI36" s="33"/>
      <c r="BJ36" s="13">
        <v>0</v>
      </c>
      <c r="BK36" s="13">
        <v>0</v>
      </c>
      <c r="BL36" s="14">
        <v>0</v>
      </c>
      <c r="BP36" s="38">
        <f>$BP$1</f>
        <v>100</v>
      </c>
      <c r="BQ36" s="38">
        <f>-$BP$1</f>
        <v>-100</v>
      </c>
      <c r="BS36" s="38">
        <f t="shared" si="3"/>
        <v>5</v>
      </c>
    </row>
    <row r="37" spans="1:81" ht="15" customHeight="1" x14ac:dyDescent="0.2">
      <c r="A37" s="56"/>
      <c r="B37" s="34">
        <v>1</v>
      </c>
      <c r="C37" s="37" t="str">
        <f t="shared" si="4"/>
        <v>22</v>
      </c>
      <c r="D37" s="18">
        <v>7</v>
      </c>
      <c r="E37" s="19" t="s">
        <v>94</v>
      </c>
      <c r="F37" s="19" t="s">
        <v>17</v>
      </c>
      <c r="G37" s="19" t="s">
        <v>15</v>
      </c>
      <c r="H37" s="20">
        <v>2</v>
      </c>
      <c r="I37" s="20">
        <v>2</v>
      </c>
      <c r="J37" s="20">
        <v>1</v>
      </c>
      <c r="K37" s="20" t="s">
        <v>96</v>
      </c>
      <c r="L37" s="21"/>
      <c r="M37" s="22" t="s">
        <v>2</v>
      </c>
      <c r="N37" s="22" t="s">
        <v>22</v>
      </c>
      <c r="O37" s="22"/>
      <c r="P37" s="19" t="s">
        <v>7</v>
      </c>
      <c r="Q37" s="19" t="s">
        <v>7</v>
      </c>
      <c r="R37" s="19"/>
      <c r="S37" s="86"/>
      <c r="T37" s="23">
        <v>422</v>
      </c>
      <c r="U37" s="24">
        <v>62.1</v>
      </c>
      <c r="V37" s="24"/>
      <c r="W37" s="24">
        <v>5</v>
      </c>
      <c r="X37" s="24">
        <v>-18</v>
      </c>
      <c r="Y37" s="24"/>
      <c r="Z37" s="25">
        <f t="shared" ref="Z37:Z45" si="35">GetReferenceTemperature(M37,"AV2011")</f>
        <v>5</v>
      </c>
      <c r="AA37" s="25">
        <f t="shared" ref="AA37:AA45" si="36">GetReferenceTemperature(N37,"AV2011")</f>
        <v>-18</v>
      </c>
      <c r="AB37" s="25" t="str">
        <f t="shared" ref="AB37:AB45" si="37">GetReferenceTemperature(O37,"AV2011")</f>
        <v/>
      </c>
      <c r="AC37" s="53"/>
      <c r="AD37" s="24">
        <v>247</v>
      </c>
      <c r="AE37" s="24">
        <v>89</v>
      </c>
      <c r="AF37" s="24"/>
      <c r="AG37" s="25">
        <f t="shared" ref="AG37:AG45" si="38">EnergyLabel("AV2011",AD37:AF37,M37:O37,P37:R37,F37,E37,D37,T37,0)</f>
        <v>526.02</v>
      </c>
      <c r="AH37" s="25">
        <f t="shared" ref="AH37:AH45" si="39">EnergyLabel("EI2011",AD37:AF37,M37:O37,P37:R37,F37,E37,D37,T37*365/1000,0)</f>
        <v>21.642012644510629</v>
      </c>
      <c r="AI37" s="74"/>
      <c r="AJ37" s="25">
        <f t="shared" ref="AJ37:AJ45" si="40">GetReferenceTemperature(M37,"AV_NG")</f>
        <v>4</v>
      </c>
      <c r="AK37" s="25">
        <f t="shared" ref="AK37:AK45" si="41">GetReferenceTemperature(N37,"AV_NG")</f>
        <v>-18</v>
      </c>
      <c r="AL37" s="25" t="str">
        <f t="shared" ref="AL37:AL45" si="42">GetReferenceTemperature(O37,"AV_NG")</f>
        <v/>
      </c>
      <c r="AM37" s="70">
        <v>247</v>
      </c>
      <c r="AN37" s="70">
        <v>91</v>
      </c>
      <c r="AO37" s="24"/>
      <c r="AP37" s="42">
        <f t="shared" ref="AP37:AR38" si="43">IF(AND(ISNUMBER(AM37),ISNUMBER(AD37)),(AM37-AD37)/AD37*100,"")</f>
        <v>0</v>
      </c>
      <c r="AQ37" s="42">
        <f t="shared" si="43"/>
        <v>2.2471910112359552</v>
      </c>
      <c r="AR37" s="42" t="str">
        <f t="shared" si="43"/>
        <v/>
      </c>
      <c r="AS37" s="74"/>
      <c r="AT37" s="24">
        <v>209</v>
      </c>
      <c r="AU37" s="24">
        <v>31.6</v>
      </c>
      <c r="AV37" s="24"/>
      <c r="AW37" s="24">
        <v>4</v>
      </c>
      <c r="AX37" s="24">
        <v>-18</v>
      </c>
      <c r="AY37" s="24"/>
      <c r="AZ37" s="74"/>
      <c r="BA37" s="24">
        <v>611</v>
      </c>
      <c r="BB37" s="43">
        <v>75.599999999999994</v>
      </c>
      <c r="BC37" s="43"/>
      <c r="BD37" s="43">
        <v>4</v>
      </c>
      <c r="BE37" s="43">
        <v>-18</v>
      </c>
      <c r="BF37" s="43"/>
      <c r="BG37" s="78">
        <f t="shared" ref="BG37:BG45" si="44">f_Cons*AT37+(1-f_Cons)*BA37</f>
        <v>435.125</v>
      </c>
      <c r="BH37" s="44">
        <f t="shared" ref="BH37:BH45" si="45">IF(AND(ISNUMBER(BG37),ISNUMBER(T37)),(BG37-T37)/T37*100,"not complete")</f>
        <v>3.1101895734597154</v>
      </c>
      <c r="BI37" s="25">
        <f t="shared" ref="BI37:BI44" si="46">EnergyLabel("AV_NG",AM37:AO37,M37:O37,P37:R37,F37,E37,D37,T37, f_Cons)</f>
        <v>520</v>
      </c>
      <c r="BJ37" s="42">
        <f t="shared" ref="BJ37:BJ45" si="47">IF(AND(ISNUMBER(BI37),ISNUMBER(AG37)),(BI37-AG37)/AG37*100,"")</f>
        <v>-1.1444431770655075</v>
      </c>
      <c r="BK37" s="42">
        <f t="shared" ref="BK37:BK44" si="48">EnergyLabel("EI_NG",AM37:AO37,M37:O37,P37:R37,F37,E37,D37,BG37*365/1000,f_Cons)</f>
        <v>22.462749632269745</v>
      </c>
      <c r="BL37" s="44">
        <f t="shared" ref="BL37:BL45" si="49">IF(AND(ISNUMBER(BK37),ISNUMBER(AH37)),(BK37-AH37)/AH37*100,"not complete")</f>
        <v>3.7923320776142821</v>
      </c>
      <c r="BO37" s="38">
        <f t="shared" ref="BO37:BO44" si="50">C37+0</f>
        <v>22</v>
      </c>
      <c r="BS37" s="38">
        <f t="shared" si="3"/>
        <v>5</v>
      </c>
      <c r="BZ37" s="117">
        <f t="shared" ref="BZ37:BZ45" si="51">AT37/BA37</f>
        <v>0.34206219312602293</v>
      </c>
    </row>
    <row r="38" spans="1:81" ht="15" customHeight="1" x14ac:dyDescent="0.2">
      <c r="A38" s="56"/>
      <c r="B38" s="34">
        <v>2</v>
      </c>
      <c r="C38" s="37" t="str">
        <f t="shared" si="4"/>
        <v>23</v>
      </c>
      <c r="D38" s="18">
        <v>7</v>
      </c>
      <c r="E38" s="19" t="s">
        <v>94</v>
      </c>
      <c r="F38" s="19" t="s">
        <v>17</v>
      </c>
      <c r="G38" s="19" t="s">
        <v>15</v>
      </c>
      <c r="H38" s="20">
        <v>2</v>
      </c>
      <c r="I38" s="20">
        <v>2</v>
      </c>
      <c r="J38" s="20">
        <v>1</v>
      </c>
      <c r="K38" s="20" t="s">
        <v>96</v>
      </c>
      <c r="L38" s="21" t="s">
        <v>78</v>
      </c>
      <c r="M38" s="22" t="s">
        <v>2</v>
      </c>
      <c r="N38" s="22" t="s">
        <v>22</v>
      </c>
      <c r="O38" s="22"/>
      <c r="P38" s="19" t="s">
        <v>7</v>
      </c>
      <c r="Q38" s="19" t="s">
        <v>7</v>
      </c>
      <c r="R38" s="19"/>
      <c r="S38" s="86"/>
      <c r="T38" s="23">
        <v>410</v>
      </c>
      <c r="U38" s="24"/>
      <c r="V38" s="24"/>
      <c r="W38" s="24">
        <v>5</v>
      </c>
      <c r="X38" s="24">
        <v>-18</v>
      </c>
      <c r="Y38" s="24"/>
      <c r="Z38" s="25">
        <f t="shared" si="35"/>
        <v>5</v>
      </c>
      <c r="AA38" s="25">
        <f t="shared" si="36"/>
        <v>-18</v>
      </c>
      <c r="AB38" s="25" t="str">
        <f t="shared" si="37"/>
        <v/>
      </c>
      <c r="AC38" s="53"/>
      <c r="AD38" s="24">
        <v>191</v>
      </c>
      <c r="AE38" s="24">
        <v>91</v>
      </c>
      <c r="AF38" s="24"/>
      <c r="AG38" s="25">
        <f t="shared" si="38"/>
        <v>463.98</v>
      </c>
      <c r="AH38" s="25">
        <f t="shared" si="39"/>
        <v>22.554210963875494</v>
      </c>
      <c r="AI38" s="74"/>
      <c r="AJ38" s="25">
        <f t="shared" si="40"/>
        <v>4</v>
      </c>
      <c r="AK38" s="25">
        <f t="shared" si="41"/>
        <v>-18</v>
      </c>
      <c r="AL38" s="25" t="str">
        <f t="shared" si="42"/>
        <v/>
      </c>
      <c r="AM38" s="70">
        <v>192</v>
      </c>
      <c r="AN38" s="70">
        <v>91</v>
      </c>
      <c r="AO38" s="24"/>
      <c r="AP38" s="42">
        <f t="shared" si="43"/>
        <v>0.52356020942408377</v>
      </c>
      <c r="AQ38" s="42">
        <f t="shared" si="43"/>
        <v>0</v>
      </c>
      <c r="AR38" s="42" t="str">
        <f t="shared" si="43"/>
        <v/>
      </c>
      <c r="AS38" s="74"/>
      <c r="AT38" s="24">
        <v>268</v>
      </c>
      <c r="AU38" s="24"/>
      <c r="AV38" s="24"/>
      <c r="AW38" s="24">
        <v>4</v>
      </c>
      <c r="AX38" s="24">
        <v>-18</v>
      </c>
      <c r="AY38" s="24"/>
      <c r="AZ38" s="74"/>
      <c r="BA38" s="24">
        <v>590</v>
      </c>
      <c r="BB38" s="43"/>
      <c r="BC38" s="43"/>
      <c r="BD38" s="43">
        <v>4</v>
      </c>
      <c r="BE38" s="43">
        <v>-18</v>
      </c>
      <c r="BF38" s="43"/>
      <c r="BG38" s="78">
        <f t="shared" si="44"/>
        <v>449.125</v>
      </c>
      <c r="BH38" s="44">
        <f t="shared" si="45"/>
        <v>9.5426829268292686</v>
      </c>
      <c r="BI38" s="25">
        <f t="shared" si="46"/>
        <v>453.99999999999994</v>
      </c>
      <c r="BJ38" s="42">
        <f t="shared" si="47"/>
        <v>-2.1509547825337458</v>
      </c>
      <c r="BK38" s="42">
        <f t="shared" si="48"/>
        <v>24.998646604387595</v>
      </c>
      <c r="BL38" s="44">
        <f t="shared" si="49"/>
        <v>10.838045473757832</v>
      </c>
      <c r="BO38" s="38">
        <f t="shared" si="50"/>
        <v>23</v>
      </c>
      <c r="BS38" s="38">
        <f t="shared" si="3"/>
        <v>5</v>
      </c>
      <c r="BZ38" s="117">
        <f t="shared" si="51"/>
        <v>0.45423728813559322</v>
      </c>
    </row>
    <row r="39" spans="1:81" ht="15" customHeight="1" x14ac:dyDescent="0.2">
      <c r="A39" s="58"/>
      <c r="B39" s="34">
        <v>3</v>
      </c>
      <c r="C39" s="59" t="str">
        <f t="shared" ref="C39:C45" si="52">TEXT(AH39,"00")</f>
        <v>31</v>
      </c>
      <c r="D39" s="60">
        <v>7</v>
      </c>
      <c r="E39" s="61" t="s">
        <v>94</v>
      </c>
      <c r="F39" s="61" t="s">
        <v>17</v>
      </c>
      <c r="G39" s="61" t="s">
        <v>15</v>
      </c>
      <c r="H39" s="62">
        <v>2</v>
      </c>
      <c r="I39" s="62">
        <v>2</v>
      </c>
      <c r="J39" s="62">
        <v>1</v>
      </c>
      <c r="K39" s="62" t="s">
        <v>94</v>
      </c>
      <c r="L39" s="63"/>
      <c r="M39" s="64" t="s">
        <v>2</v>
      </c>
      <c r="N39" s="64" t="s">
        <v>22</v>
      </c>
      <c r="O39" s="64"/>
      <c r="P39" s="61" t="s">
        <v>7</v>
      </c>
      <c r="Q39" s="61" t="s">
        <v>7</v>
      </c>
      <c r="R39" s="61"/>
      <c r="S39" s="86"/>
      <c r="T39" s="65">
        <v>571</v>
      </c>
      <c r="U39" s="66"/>
      <c r="V39" s="66"/>
      <c r="W39" s="66">
        <v>5</v>
      </c>
      <c r="X39" s="66">
        <v>-18</v>
      </c>
      <c r="Y39" s="66"/>
      <c r="Z39" s="67">
        <f t="shared" si="35"/>
        <v>5</v>
      </c>
      <c r="AA39" s="67">
        <f t="shared" si="36"/>
        <v>-18</v>
      </c>
      <c r="AB39" s="67" t="str">
        <f t="shared" si="37"/>
        <v/>
      </c>
      <c r="AC39" s="66">
        <v>28</v>
      </c>
      <c r="AD39" s="66">
        <v>215</v>
      </c>
      <c r="AE39" s="66">
        <v>89</v>
      </c>
      <c r="AF39" s="66"/>
      <c r="AG39" s="67">
        <f t="shared" si="38"/>
        <v>487.62</v>
      </c>
      <c r="AH39" s="67">
        <f t="shared" si="39"/>
        <v>30.564728958321947</v>
      </c>
      <c r="AI39" s="74"/>
      <c r="AJ39" s="67">
        <f t="shared" si="40"/>
        <v>4</v>
      </c>
      <c r="AK39" s="67">
        <f t="shared" si="41"/>
        <v>-18</v>
      </c>
      <c r="AL39" s="67" t="str">
        <f t="shared" si="42"/>
        <v/>
      </c>
      <c r="AM39" s="70">
        <v>218</v>
      </c>
      <c r="AN39" s="70">
        <v>91</v>
      </c>
      <c r="AO39" s="66"/>
      <c r="AP39" s="68">
        <f t="shared" ref="AP39:AR45" si="53">IF(AND(ISNUMBER(AM39),ISNUMBER(AD39)),(AM39-AD39)/AD39*100,"")</f>
        <v>1.3953488372093024</v>
      </c>
      <c r="AQ39" s="68">
        <f t="shared" si="53"/>
        <v>2.2471910112359552</v>
      </c>
      <c r="AR39" s="68" t="str">
        <f t="shared" si="53"/>
        <v/>
      </c>
      <c r="AS39" s="74"/>
      <c r="AT39" s="66">
        <v>352</v>
      </c>
      <c r="AU39" s="66"/>
      <c r="AV39" s="66"/>
      <c r="AW39" s="66">
        <v>4</v>
      </c>
      <c r="AX39" s="66">
        <v>-18</v>
      </c>
      <c r="AY39" s="66"/>
      <c r="AZ39" s="74"/>
      <c r="BA39" s="66">
        <v>730</v>
      </c>
      <c r="BB39" s="69"/>
      <c r="BC39" s="69"/>
      <c r="BD39" s="69">
        <v>4</v>
      </c>
      <c r="BE39" s="69">
        <v>-18</v>
      </c>
      <c r="BF39" s="69"/>
      <c r="BG39" s="78">
        <f t="shared" si="44"/>
        <v>564.625</v>
      </c>
      <c r="BH39" s="44">
        <f t="shared" si="45"/>
        <v>-1.1164623467600701</v>
      </c>
      <c r="BI39" s="67">
        <f t="shared" si="46"/>
        <v>485.19999999999993</v>
      </c>
      <c r="BJ39" s="68">
        <f t="shared" si="47"/>
        <v>-0.49628809318733286</v>
      </c>
      <c r="BK39" s="68">
        <f t="shared" si="48"/>
        <v>30.307059378200364</v>
      </c>
      <c r="BL39" s="44">
        <f t="shared" si="49"/>
        <v>-0.84302916761650604</v>
      </c>
      <c r="BO39" s="38">
        <f t="shared" si="50"/>
        <v>31</v>
      </c>
      <c r="BR39" s="82">
        <f>AVERAGE(BH37:BH45)</f>
        <v>10.382449064308661</v>
      </c>
      <c r="BS39" s="38">
        <f t="shared" si="3"/>
        <v>5</v>
      </c>
      <c r="BZ39" s="117">
        <f t="shared" si="51"/>
        <v>0.48219178082191783</v>
      </c>
    </row>
    <row r="40" spans="1:81" ht="15" customHeight="1" x14ac:dyDescent="0.2">
      <c r="A40" s="58"/>
      <c r="B40" s="34">
        <v>4</v>
      </c>
      <c r="C40" s="59" t="str">
        <f t="shared" si="52"/>
        <v>19</v>
      </c>
      <c r="D40" s="60">
        <v>7</v>
      </c>
      <c r="E40" s="61" t="s">
        <v>94</v>
      </c>
      <c r="F40" s="61" t="s">
        <v>17</v>
      </c>
      <c r="G40" s="61" t="s">
        <v>15</v>
      </c>
      <c r="H40" s="62">
        <v>2</v>
      </c>
      <c r="I40" s="62">
        <v>2</v>
      </c>
      <c r="J40" s="62">
        <v>1</v>
      </c>
      <c r="K40" s="62" t="s">
        <v>96</v>
      </c>
      <c r="L40" s="63"/>
      <c r="M40" s="64" t="s">
        <v>2</v>
      </c>
      <c r="N40" s="64" t="s">
        <v>22</v>
      </c>
      <c r="O40" s="64"/>
      <c r="P40" s="61" t="s">
        <v>7</v>
      </c>
      <c r="Q40" s="61" t="s">
        <v>7</v>
      </c>
      <c r="R40" s="61"/>
      <c r="S40" s="86"/>
      <c r="T40" s="65">
        <v>358</v>
      </c>
      <c r="U40" s="66"/>
      <c r="V40" s="66"/>
      <c r="W40" s="66">
        <v>5</v>
      </c>
      <c r="X40" s="66">
        <v>-18</v>
      </c>
      <c r="Y40" s="66"/>
      <c r="Z40" s="67">
        <f t="shared" si="35"/>
        <v>5</v>
      </c>
      <c r="AA40" s="67">
        <f t="shared" si="36"/>
        <v>-18</v>
      </c>
      <c r="AB40" s="67" t="str">
        <f t="shared" si="37"/>
        <v/>
      </c>
      <c r="AC40" s="66">
        <v>58</v>
      </c>
      <c r="AD40" s="66">
        <v>215</v>
      </c>
      <c r="AE40" s="66">
        <v>89</v>
      </c>
      <c r="AF40" s="66"/>
      <c r="AG40" s="67">
        <f t="shared" si="38"/>
        <v>487.62</v>
      </c>
      <c r="AH40" s="67">
        <f t="shared" si="39"/>
        <v>19.163175073693967</v>
      </c>
      <c r="AI40" s="74"/>
      <c r="AJ40" s="67">
        <f t="shared" si="40"/>
        <v>4</v>
      </c>
      <c r="AK40" s="67">
        <f t="shared" si="41"/>
        <v>-18</v>
      </c>
      <c r="AL40" s="67" t="str">
        <f t="shared" si="42"/>
        <v/>
      </c>
      <c r="AM40" s="66">
        <v>218</v>
      </c>
      <c r="AN40" s="66">
        <v>91</v>
      </c>
      <c r="AO40" s="66"/>
      <c r="AP40" s="68">
        <f t="shared" si="53"/>
        <v>1.3953488372093024</v>
      </c>
      <c r="AQ40" s="68">
        <f t="shared" si="53"/>
        <v>2.2471910112359552</v>
      </c>
      <c r="AR40" s="68" t="str">
        <f t="shared" si="53"/>
        <v/>
      </c>
      <c r="AS40" s="74"/>
      <c r="AT40" s="66">
        <v>197</v>
      </c>
      <c r="AU40" s="66"/>
      <c r="AV40" s="66"/>
      <c r="AW40" s="66">
        <v>4</v>
      </c>
      <c r="AX40" s="66">
        <v>-18</v>
      </c>
      <c r="AY40" s="66"/>
      <c r="AZ40" s="74"/>
      <c r="BA40" s="66">
        <v>565</v>
      </c>
      <c r="BB40" s="69"/>
      <c r="BC40" s="69"/>
      <c r="BD40" s="69">
        <v>4</v>
      </c>
      <c r="BE40" s="69">
        <v>-18</v>
      </c>
      <c r="BF40" s="69"/>
      <c r="BG40" s="78">
        <f t="shared" si="44"/>
        <v>404</v>
      </c>
      <c r="BH40" s="44">
        <f t="shared" si="45"/>
        <v>12.849162011173185</v>
      </c>
      <c r="BI40" s="67">
        <f t="shared" si="46"/>
        <v>485.19999999999993</v>
      </c>
      <c r="BJ40" s="68">
        <f t="shared" si="47"/>
        <v>-0.49628809318733286</v>
      </c>
      <c r="BK40" s="68">
        <f t="shared" si="48"/>
        <v>21.685281361599198</v>
      </c>
      <c r="BL40" s="44">
        <f t="shared" si="49"/>
        <v>13.161212994225702</v>
      </c>
      <c r="BO40" s="38">
        <f t="shared" si="50"/>
        <v>19</v>
      </c>
      <c r="BS40" s="38">
        <f t="shared" si="3"/>
        <v>5</v>
      </c>
      <c r="BZ40" s="117">
        <f t="shared" si="51"/>
        <v>0.34867256637168142</v>
      </c>
    </row>
    <row r="41" spans="1:81" ht="15" customHeight="1" x14ac:dyDescent="0.2">
      <c r="A41" s="58"/>
      <c r="B41" s="34">
        <v>5</v>
      </c>
      <c r="C41" s="59" t="str">
        <f t="shared" si="52"/>
        <v>33</v>
      </c>
      <c r="D41" s="60">
        <v>7</v>
      </c>
      <c r="E41" s="61" t="s">
        <v>95</v>
      </c>
      <c r="F41" s="61" t="s">
        <v>16</v>
      </c>
      <c r="G41" s="61" t="s">
        <v>15</v>
      </c>
      <c r="H41" s="62">
        <v>2</v>
      </c>
      <c r="I41" s="62">
        <v>2</v>
      </c>
      <c r="J41" s="62">
        <v>1</v>
      </c>
      <c r="K41" s="62" t="s">
        <v>94</v>
      </c>
      <c r="L41" s="63"/>
      <c r="M41" s="64" t="s">
        <v>2</v>
      </c>
      <c r="N41" s="64" t="s">
        <v>22</v>
      </c>
      <c r="O41" s="64"/>
      <c r="P41" s="61" t="s">
        <v>7</v>
      </c>
      <c r="Q41" s="61" t="s">
        <v>7</v>
      </c>
      <c r="R41" s="61"/>
      <c r="S41" s="86"/>
      <c r="T41" s="65">
        <v>555</v>
      </c>
      <c r="U41" s="66"/>
      <c r="V41" s="66"/>
      <c r="W41" s="66">
        <v>4.9000000000000004</v>
      </c>
      <c r="X41" s="66">
        <v>-18</v>
      </c>
      <c r="Y41" s="66"/>
      <c r="Z41" s="67">
        <f t="shared" si="35"/>
        <v>5</v>
      </c>
      <c r="AA41" s="67">
        <f t="shared" si="36"/>
        <v>-18</v>
      </c>
      <c r="AB41" s="67" t="str">
        <f t="shared" si="37"/>
        <v/>
      </c>
      <c r="AC41" s="66">
        <v>42</v>
      </c>
      <c r="AD41" s="66">
        <v>172</v>
      </c>
      <c r="AE41" s="66">
        <v>61</v>
      </c>
      <c r="AF41" s="66"/>
      <c r="AG41" s="67">
        <f t="shared" si="38"/>
        <v>400.15800000000002</v>
      </c>
      <c r="AH41" s="67">
        <f t="shared" si="39"/>
        <v>32.996821622998745</v>
      </c>
      <c r="AI41" s="74"/>
      <c r="AJ41" s="67">
        <f t="shared" si="40"/>
        <v>4</v>
      </c>
      <c r="AK41" s="67">
        <f t="shared" si="41"/>
        <v>-18</v>
      </c>
      <c r="AL41" s="67" t="str">
        <f t="shared" si="42"/>
        <v/>
      </c>
      <c r="AM41" s="66">
        <v>174</v>
      </c>
      <c r="AN41" s="66">
        <v>62</v>
      </c>
      <c r="AO41" s="66"/>
      <c r="AP41" s="68">
        <f t="shared" si="53"/>
        <v>1.1627906976744187</v>
      </c>
      <c r="AQ41" s="68">
        <f t="shared" si="53"/>
        <v>1.639344262295082</v>
      </c>
      <c r="AR41" s="68" t="str">
        <f t="shared" si="53"/>
        <v/>
      </c>
      <c r="AS41" s="74"/>
      <c r="AT41" s="66">
        <v>313</v>
      </c>
      <c r="AU41" s="66"/>
      <c r="AV41" s="66"/>
      <c r="AW41" s="66">
        <v>4</v>
      </c>
      <c r="AX41" s="66">
        <v>-18</v>
      </c>
      <c r="AY41" s="66"/>
      <c r="AZ41" s="74"/>
      <c r="BA41" s="66">
        <v>782</v>
      </c>
      <c r="BB41" s="69"/>
      <c r="BC41" s="69"/>
      <c r="BD41" s="69">
        <v>4</v>
      </c>
      <c r="BE41" s="69">
        <v>-18</v>
      </c>
      <c r="BF41" s="69"/>
      <c r="BG41" s="78">
        <f t="shared" si="44"/>
        <v>576.8125</v>
      </c>
      <c r="BH41" s="44">
        <f t="shared" si="45"/>
        <v>3.9301801801801801</v>
      </c>
      <c r="BI41" s="67">
        <f t="shared" si="46"/>
        <v>397.25714285714287</v>
      </c>
      <c r="BJ41" s="68">
        <f t="shared" si="47"/>
        <v>-0.72492793917831166</v>
      </c>
      <c r="BK41" s="68">
        <f t="shared" si="48"/>
        <v>34.420026409717153</v>
      </c>
      <c r="BL41" s="44">
        <f t="shared" si="49"/>
        <v>4.3131571973175618</v>
      </c>
      <c r="BN41" s="34" t="str">
        <f>B36</f>
        <v>Cat 7-II-Static</v>
      </c>
      <c r="BO41" s="38">
        <f t="shared" si="50"/>
        <v>33</v>
      </c>
      <c r="BR41" s="120" t="s">
        <v>123</v>
      </c>
      <c r="BS41" s="38">
        <f t="shared" si="3"/>
        <v>5</v>
      </c>
      <c r="BZ41" s="117">
        <f t="shared" si="51"/>
        <v>0.40025575447570333</v>
      </c>
    </row>
    <row r="42" spans="1:81" ht="15" customHeight="1" x14ac:dyDescent="0.2">
      <c r="A42" s="58"/>
      <c r="B42" s="34">
        <v>6</v>
      </c>
      <c r="C42" s="59" t="str">
        <f t="shared" si="52"/>
        <v>33</v>
      </c>
      <c r="D42" s="60">
        <v>7</v>
      </c>
      <c r="E42" s="61" t="s">
        <v>95</v>
      </c>
      <c r="F42" s="61" t="s">
        <v>17</v>
      </c>
      <c r="G42" s="61" t="s">
        <v>15</v>
      </c>
      <c r="H42" s="62">
        <v>2</v>
      </c>
      <c r="I42" s="62">
        <v>2</v>
      </c>
      <c r="J42" s="62">
        <v>1</v>
      </c>
      <c r="K42" s="62" t="s">
        <v>94</v>
      </c>
      <c r="L42" s="63"/>
      <c r="M42" s="64" t="s">
        <v>2</v>
      </c>
      <c r="N42" s="64" t="s">
        <v>22</v>
      </c>
      <c r="O42" s="64"/>
      <c r="P42" s="61" t="s">
        <v>7</v>
      </c>
      <c r="Q42" s="61" t="s">
        <v>7</v>
      </c>
      <c r="R42" s="61"/>
      <c r="S42" s="86"/>
      <c r="T42" s="65">
        <v>613</v>
      </c>
      <c r="U42" s="66"/>
      <c r="V42" s="66"/>
      <c r="W42" s="66">
        <v>5</v>
      </c>
      <c r="X42" s="66">
        <v>-18</v>
      </c>
      <c r="Y42" s="66"/>
      <c r="Z42" s="67">
        <f t="shared" si="35"/>
        <v>5</v>
      </c>
      <c r="AA42" s="67">
        <f t="shared" si="36"/>
        <v>-18</v>
      </c>
      <c r="AB42" s="67" t="str">
        <f t="shared" si="37"/>
        <v/>
      </c>
      <c r="AC42" s="66">
        <v>47</v>
      </c>
      <c r="AD42" s="66">
        <v>211</v>
      </c>
      <c r="AE42" s="66">
        <v>61</v>
      </c>
      <c r="AF42" s="66"/>
      <c r="AG42" s="67">
        <f t="shared" si="38"/>
        <v>492.69599999999997</v>
      </c>
      <c r="AH42" s="67">
        <f t="shared" si="39"/>
        <v>32.624221610233072</v>
      </c>
      <c r="AI42" s="74"/>
      <c r="AJ42" s="67">
        <f t="shared" si="40"/>
        <v>4</v>
      </c>
      <c r="AK42" s="67">
        <f t="shared" si="41"/>
        <v>-18</v>
      </c>
      <c r="AL42" s="67" t="str">
        <f t="shared" si="42"/>
        <v/>
      </c>
      <c r="AM42" s="66">
        <v>215</v>
      </c>
      <c r="AN42" s="66">
        <v>62</v>
      </c>
      <c r="AO42" s="66"/>
      <c r="AP42" s="68">
        <f t="shared" si="53"/>
        <v>1.8957345971563981</v>
      </c>
      <c r="AQ42" s="68">
        <f t="shared" si="53"/>
        <v>1.639344262295082</v>
      </c>
      <c r="AR42" s="68" t="str">
        <f t="shared" si="53"/>
        <v/>
      </c>
      <c r="AS42" s="74"/>
      <c r="AT42" s="66">
        <v>326</v>
      </c>
      <c r="AU42" s="66"/>
      <c r="AV42" s="66"/>
      <c r="AW42" s="66">
        <v>4</v>
      </c>
      <c r="AX42" s="66">
        <v>-18</v>
      </c>
      <c r="AY42" s="66"/>
      <c r="AZ42" s="74"/>
      <c r="BA42" s="66">
        <v>809</v>
      </c>
      <c r="BB42" s="69"/>
      <c r="BC42" s="69"/>
      <c r="BD42" s="69">
        <v>4</v>
      </c>
      <c r="BE42" s="69">
        <v>-18</v>
      </c>
      <c r="BF42" s="69"/>
      <c r="BG42" s="78">
        <f t="shared" si="44"/>
        <v>597.6875</v>
      </c>
      <c r="BH42" s="44">
        <f t="shared" si="45"/>
        <v>-2.4979608482871125</v>
      </c>
      <c r="BI42" s="67">
        <f t="shared" si="46"/>
        <v>492.41142857142847</v>
      </c>
      <c r="BJ42" s="68">
        <f t="shared" si="47"/>
        <v>-5.7758014794416078E-2</v>
      </c>
      <c r="BK42" s="68">
        <f t="shared" si="48"/>
        <v>31.819540043892413</v>
      </c>
      <c r="BL42" s="44">
        <f t="shared" si="49"/>
        <v>-2.4665157561590925</v>
      </c>
      <c r="BO42" s="38">
        <f t="shared" si="50"/>
        <v>33</v>
      </c>
      <c r="BS42" s="38">
        <f t="shared" si="3"/>
        <v>5</v>
      </c>
      <c r="BZ42" s="117">
        <f t="shared" si="51"/>
        <v>0.40296662546353523</v>
      </c>
    </row>
    <row r="43" spans="1:81" ht="15" customHeight="1" x14ac:dyDescent="0.2">
      <c r="A43" s="58"/>
      <c r="B43" s="34">
        <v>7</v>
      </c>
      <c r="C43" s="59" t="str">
        <f t="shared" si="52"/>
        <v>35</v>
      </c>
      <c r="D43" s="60">
        <v>10</v>
      </c>
      <c r="E43" s="61" t="s">
        <v>95</v>
      </c>
      <c r="F43" s="61" t="s">
        <v>16</v>
      </c>
      <c r="G43" s="61" t="s">
        <v>15</v>
      </c>
      <c r="H43" s="62">
        <v>3</v>
      </c>
      <c r="I43" s="62">
        <v>2</v>
      </c>
      <c r="J43" s="62">
        <v>1</v>
      </c>
      <c r="K43" s="62" t="s">
        <v>94</v>
      </c>
      <c r="L43" s="63"/>
      <c r="M43" s="64" t="s">
        <v>2</v>
      </c>
      <c r="N43" s="64" t="s">
        <v>22</v>
      </c>
      <c r="O43" s="64" t="s">
        <v>12</v>
      </c>
      <c r="P43" s="61" t="s">
        <v>7</v>
      </c>
      <c r="Q43" s="61" t="s">
        <v>7</v>
      </c>
      <c r="R43" s="61" t="s">
        <v>7</v>
      </c>
      <c r="S43" s="86"/>
      <c r="T43" s="65">
        <v>585</v>
      </c>
      <c r="U43" s="66"/>
      <c r="V43" s="66"/>
      <c r="W43" s="66">
        <v>5</v>
      </c>
      <c r="X43" s="66">
        <v>-18</v>
      </c>
      <c r="Y43" s="66">
        <v>2</v>
      </c>
      <c r="Z43" s="67">
        <f t="shared" si="35"/>
        <v>5</v>
      </c>
      <c r="AA43" s="67">
        <f t="shared" si="36"/>
        <v>-18</v>
      </c>
      <c r="AB43" s="67">
        <f t="shared" si="37"/>
        <v>0</v>
      </c>
      <c r="AC43" s="66">
        <v>52</v>
      </c>
      <c r="AD43" s="66">
        <v>127</v>
      </c>
      <c r="AE43" s="66">
        <v>27</v>
      </c>
      <c r="AF43" s="66">
        <v>56</v>
      </c>
      <c r="AG43" s="67">
        <f t="shared" si="38"/>
        <v>336.666</v>
      </c>
      <c r="AH43" s="67">
        <f t="shared" si="39"/>
        <v>34.742703260255276</v>
      </c>
      <c r="AI43" s="74"/>
      <c r="AJ43" s="67">
        <f t="shared" si="40"/>
        <v>4</v>
      </c>
      <c r="AK43" s="67">
        <f t="shared" si="41"/>
        <v>-18</v>
      </c>
      <c r="AL43" s="67">
        <f t="shared" si="42"/>
        <v>2</v>
      </c>
      <c r="AM43" s="66">
        <v>128</v>
      </c>
      <c r="AN43" s="66">
        <v>28</v>
      </c>
      <c r="AO43" s="66">
        <v>58</v>
      </c>
      <c r="AP43" s="68">
        <f t="shared" si="53"/>
        <v>0.78740157480314954</v>
      </c>
      <c r="AQ43" s="68">
        <f t="shared" si="53"/>
        <v>3.7037037037037033</v>
      </c>
      <c r="AR43" s="68">
        <f t="shared" si="53"/>
        <v>3.5714285714285712</v>
      </c>
      <c r="AS43" s="74"/>
      <c r="AT43" s="66">
        <v>466</v>
      </c>
      <c r="AU43" s="66"/>
      <c r="AV43" s="66"/>
      <c r="AW43" s="66">
        <v>4</v>
      </c>
      <c r="AX43" s="66">
        <v>-23</v>
      </c>
      <c r="AY43" s="66">
        <v>2</v>
      </c>
      <c r="AZ43" s="74"/>
      <c r="BA43" s="66">
        <v>806</v>
      </c>
      <c r="BB43" s="69"/>
      <c r="BC43" s="69"/>
      <c r="BD43" s="69">
        <v>3.9</v>
      </c>
      <c r="BE43" s="69">
        <v>-22.9</v>
      </c>
      <c r="BF43" s="69">
        <v>-0.6</v>
      </c>
      <c r="BG43" s="78">
        <f t="shared" si="44"/>
        <v>657.25</v>
      </c>
      <c r="BH43" s="44">
        <f t="shared" si="45"/>
        <v>12.350427350427351</v>
      </c>
      <c r="BI43" s="67">
        <f t="shared" si="46"/>
        <v>328.49142857142863</v>
      </c>
      <c r="BJ43" s="68">
        <f t="shared" si="47"/>
        <v>-2.4280953314475977</v>
      </c>
      <c r="BK43" s="68">
        <f t="shared" si="48"/>
        <v>39.441191294510716</v>
      </c>
      <c r="BL43" s="44">
        <f t="shared" si="49"/>
        <v>13.523668550081954</v>
      </c>
      <c r="BO43" s="38">
        <f t="shared" si="50"/>
        <v>35</v>
      </c>
      <c r="BS43" s="38">
        <f t="shared" si="3"/>
        <v>5</v>
      </c>
      <c r="BZ43" s="117">
        <f t="shared" si="51"/>
        <v>0.57816377171215882</v>
      </c>
    </row>
    <row r="44" spans="1:81" ht="15" customHeight="1" x14ac:dyDescent="0.2">
      <c r="A44" s="58"/>
      <c r="B44" s="34">
        <v>8</v>
      </c>
      <c r="C44" s="59" t="str">
        <f t="shared" si="52"/>
        <v>33</v>
      </c>
      <c r="D44" s="60">
        <v>10</v>
      </c>
      <c r="E44" s="61" t="s">
        <v>95</v>
      </c>
      <c r="F44" s="61" t="s">
        <v>16</v>
      </c>
      <c r="G44" s="61" t="s">
        <v>15</v>
      </c>
      <c r="H44" s="62">
        <v>3</v>
      </c>
      <c r="I44" s="62">
        <v>2</v>
      </c>
      <c r="J44" s="62">
        <v>1</v>
      </c>
      <c r="K44" s="62" t="s">
        <v>96</v>
      </c>
      <c r="L44" s="63"/>
      <c r="M44" s="64" t="s">
        <v>2</v>
      </c>
      <c r="N44" s="64" t="s">
        <v>22</v>
      </c>
      <c r="O44" s="64" t="s">
        <v>12</v>
      </c>
      <c r="P44" s="61" t="s">
        <v>7</v>
      </c>
      <c r="Q44" s="61" t="s">
        <v>7</v>
      </c>
      <c r="R44" s="61" t="s">
        <v>7</v>
      </c>
      <c r="S44" s="86"/>
      <c r="T44" s="65">
        <v>624</v>
      </c>
      <c r="U44" s="66"/>
      <c r="V44" s="66"/>
      <c r="W44" s="66">
        <v>5</v>
      </c>
      <c r="X44" s="66">
        <v>-18</v>
      </c>
      <c r="Y44" s="66">
        <v>2.2000000000000002</v>
      </c>
      <c r="Z44" s="67">
        <f t="shared" si="35"/>
        <v>5</v>
      </c>
      <c r="AA44" s="67">
        <f t="shared" si="36"/>
        <v>-18</v>
      </c>
      <c r="AB44" s="67">
        <f t="shared" si="37"/>
        <v>0</v>
      </c>
      <c r="AC44" s="66">
        <v>70</v>
      </c>
      <c r="AD44" s="66">
        <v>180</v>
      </c>
      <c r="AE44" s="66">
        <v>27</v>
      </c>
      <c r="AF44" s="66">
        <v>77</v>
      </c>
      <c r="AG44" s="67">
        <f t="shared" si="38"/>
        <v>441.27600000000001</v>
      </c>
      <c r="AH44" s="67">
        <f t="shared" si="39"/>
        <v>32.730183045359361</v>
      </c>
      <c r="AI44" s="74"/>
      <c r="AJ44" s="67">
        <f t="shared" si="40"/>
        <v>4</v>
      </c>
      <c r="AK44" s="67">
        <f t="shared" si="41"/>
        <v>-18</v>
      </c>
      <c r="AL44" s="67">
        <f t="shared" si="42"/>
        <v>2</v>
      </c>
      <c r="AM44" s="66">
        <v>183</v>
      </c>
      <c r="AN44" s="66">
        <v>28</v>
      </c>
      <c r="AO44" s="66">
        <v>79</v>
      </c>
      <c r="AP44" s="68">
        <f t="shared" si="53"/>
        <v>1.6666666666666667</v>
      </c>
      <c r="AQ44" s="68">
        <f t="shared" si="53"/>
        <v>3.7037037037037033</v>
      </c>
      <c r="AR44" s="68">
        <f t="shared" si="53"/>
        <v>2.5974025974025974</v>
      </c>
      <c r="AS44" s="74"/>
      <c r="AT44" s="66">
        <v>528</v>
      </c>
      <c r="AU44" s="66"/>
      <c r="AV44" s="66"/>
      <c r="AW44" s="66">
        <v>4</v>
      </c>
      <c r="AX44" s="66">
        <v>-21</v>
      </c>
      <c r="AY44" s="66">
        <v>1.8</v>
      </c>
      <c r="AZ44" s="74"/>
      <c r="BA44" s="66">
        <v>1129</v>
      </c>
      <c r="BB44" s="69"/>
      <c r="BC44" s="69"/>
      <c r="BD44" s="69">
        <v>4</v>
      </c>
      <c r="BE44" s="69">
        <v>-25</v>
      </c>
      <c r="BF44" s="69">
        <v>0.8</v>
      </c>
      <c r="BG44" s="78">
        <f t="shared" si="44"/>
        <v>866.0625</v>
      </c>
      <c r="BH44" s="44">
        <f t="shared" si="45"/>
        <v>38.792067307692307</v>
      </c>
      <c r="BI44" s="67">
        <f t="shared" si="46"/>
        <v>431.45142857142861</v>
      </c>
      <c r="BJ44" s="68">
        <f t="shared" si="47"/>
        <v>-2.2264005811717391</v>
      </c>
      <c r="BK44" s="68">
        <f t="shared" si="48"/>
        <v>45.930756908775244</v>
      </c>
      <c r="BL44" s="44">
        <f t="shared" si="49"/>
        <v>40.331500270321655</v>
      </c>
      <c r="BO44" s="38">
        <f t="shared" si="50"/>
        <v>33</v>
      </c>
      <c r="BR44" s="82">
        <f>AVERAGE(BH37:BH43,BH45)</f>
        <v>6.8312467838857041</v>
      </c>
      <c r="BS44" s="38">
        <f t="shared" si="3"/>
        <v>5</v>
      </c>
      <c r="BZ44" s="117">
        <f t="shared" si="51"/>
        <v>0.46767050487156775</v>
      </c>
    </row>
    <row r="45" spans="1:81" ht="15" customHeight="1" x14ac:dyDescent="0.2">
      <c r="A45" s="105"/>
      <c r="B45" s="34">
        <v>9</v>
      </c>
      <c r="C45" s="106" t="str">
        <f t="shared" si="52"/>
        <v>32</v>
      </c>
      <c r="D45" s="107">
        <v>10</v>
      </c>
      <c r="E45" s="108" t="s">
        <v>95</v>
      </c>
      <c r="F45" s="108" t="s">
        <v>16</v>
      </c>
      <c r="G45" s="108" t="s">
        <v>15</v>
      </c>
      <c r="H45" s="109">
        <v>3</v>
      </c>
      <c r="I45" s="109">
        <v>1</v>
      </c>
      <c r="J45" s="109">
        <v>1</v>
      </c>
      <c r="K45" s="109" t="s">
        <v>94</v>
      </c>
      <c r="L45" s="110"/>
      <c r="M45" s="111" t="s">
        <v>2</v>
      </c>
      <c r="N45" s="111" t="s">
        <v>12</v>
      </c>
      <c r="O45" s="111" t="s">
        <v>22</v>
      </c>
      <c r="P45" s="108" t="s">
        <v>7</v>
      </c>
      <c r="Q45" s="108" t="s">
        <v>7</v>
      </c>
      <c r="R45" s="108" t="s">
        <v>7</v>
      </c>
      <c r="S45" s="86"/>
      <c r="T45" s="112">
        <v>507</v>
      </c>
      <c r="U45" s="113"/>
      <c r="V45" s="113"/>
      <c r="W45" s="113">
        <v>4.5999999999999996</v>
      </c>
      <c r="X45" s="113">
        <v>3</v>
      </c>
      <c r="Y45" s="113">
        <v>-19.600000000000001</v>
      </c>
      <c r="Z45" s="114">
        <f t="shared" si="35"/>
        <v>5</v>
      </c>
      <c r="AA45" s="114">
        <f t="shared" si="36"/>
        <v>0</v>
      </c>
      <c r="AB45" s="114">
        <f t="shared" si="37"/>
        <v>-18</v>
      </c>
      <c r="AC45" s="113"/>
      <c r="AD45" s="113">
        <v>106</v>
      </c>
      <c r="AE45" s="113">
        <v>59</v>
      </c>
      <c r="AF45" s="113">
        <v>16</v>
      </c>
      <c r="AG45" s="114">
        <f t="shared" si="38"/>
        <v>282.678</v>
      </c>
      <c r="AH45" s="114">
        <f t="shared" si="39"/>
        <v>32.316069351159726</v>
      </c>
      <c r="AI45" s="74"/>
      <c r="AJ45" s="114">
        <f t="shared" si="40"/>
        <v>4</v>
      </c>
      <c r="AK45" s="114">
        <f t="shared" si="41"/>
        <v>2</v>
      </c>
      <c r="AL45" s="114">
        <f t="shared" si="42"/>
        <v>-18</v>
      </c>
      <c r="AM45" s="113">
        <v>109</v>
      </c>
      <c r="AN45" s="113">
        <v>60</v>
      </c>
      <c r="AO45" s="113">
        <v>16</v>
      </c>
      <c r="AP45" s="115">
        <f t="shared" si="53"/>
        <v>2.8301886792452833</v>
      </c>
      <c r="AQ45" s="115">
        <f t="shared" si="53"/>
        <v>1.6949152542372881</v>
      </c>
      <c r="AR45" s="115">
        <f t="shared" si="53"/>
        <v>0</v>
      </c>
      <c r="AS45" s="74"/>
      <c r="AT45" s="113">
        <v>302</v>
      </c>
      <c r="AU45" s="113"/>
      <c r="AV45" s="113"/>
      <c r="AW45" s="113">
        <v>3.4</v>
      </c>
      <c r="AX45" s="113">
        <v>2</v>
      </c>
      <c r="AY45" s="113">
        <v>-18.8</v>
      </c>
      <c r="AZ45" s="74"/>
      <c r="BA45" s="113">
        <v>815</v>
      </c>
      <c r="BB45" s="116"/>
      <c r="BC45" s="116"/>
      <c r="BD45" s="116">
        <v>3.8</v>
      </c>
      <c r="BE45" s="116">
        <v>0.9</v>
      </c>
      <c r="BF45" s="116">
        <v>-18</v>
      </c>
      <c r="BG45" s="78">
        <f t="shared" si="44"/>
        <v>590.5625</v>
      </c>
      <c r="BH45" s="44">
        <f t="shared" si="45"/>
        <v>16.481755424063117</v>
      </c>
      <c r="BI45" s="114">
        <f>EnergyLabel("AV_NG",AM45:AO45,M45:O45,P45:R45,F45,E45,D45,T45, f_Cons)</f>
        <v>273.86857142857144</v>
      </c>
      <c r="BJ45" s="115">
        <f t="shared" si="47"/>
        <v>-3.1164181759558773</v>
      </c>
      <c r="BK45" s="115">
        <f>EnergyLabel("EI_NG",AM45:AO45,M45:O45,P45:R45,F45,E45,D45,BG45*365/1000,f_Cons)</f>
        <v>38.097716883339629</v>
      </c>
      <c r="BL45" s="44">
        <f t="shared" si="49"/>
        <v>17.890936763856207</v>
      </c>
      <c r="BO45" s="38"/>
      <c r="BS45" s="38"/>
      <c r="BZ45" s="117">
        <f t="shared" si="51"/>
        <v>0.37055214723926383</v>
      </c>
    </row>
    <row r="46" spans="1:81" s="38" customFormat="1" ht="15" customHeight="1" x14ac:dyDescent="0.2">
      <c r="B46" s="38" t="s">
        <v>90</v>
      </c>
      <c r="C46" s="39"/>
      <c r="D46" s="26"/>
      <c r="E46" s="27"/>
      <c r="F46" s="27"/>
      <c r="G46" s="27"/>
      <c r="H46" s="28"/>
      <c r="I46" s="28"/>
      <c r="J46" s="28"/>
      <c r="K46" s="28"/>
      <c r="L46" s="29"/>
      <c r="M46" s="30"/>
      <c r="N46" s="30"/>
      <c r="O46" s="30"/>
      <c r="P46" s="27"/>
      <c r="Q46" s="27"/>
      <c r="R46" s="27"/>
      <c r="S46" s="86"/>
      <c r="T46" s="31"/>
      <c r="U46" s="32"/>
      <c r="V46" s="32"/>
      <c r="W46" s="32"/>
      <c r="X46" s="32"/>
      <c r="Y46" s="32"/>
      <c r="Z46" s="33"/>
      <c r="AA46" s="33"/>
      <c r="AB46" s="33"/>
      <c r="AC46" s="55"/>
      <c r="AD46" s="32"/>
      <c r="AE46" s="32"/>
      <c r="AF46" s="32"/>
      <c r="AG46" s="33"/>
      <c r="AH46" s="33"/>
      <c r="AI46" s="74"/>
      <c r="AJ46" s="33"/>
      <c r="AK46" s="33"/>
      <c r="AL46" s="33"/>
      <c r="AM46" s="32"/>
      <c r="AN46" s="32"/>
      <c r="AO46" s="32"/>
      <c r="AP46" s="13">
        <v>0</v>
      </c>
      <c r="AQ46" s="13"/>
      <c r="AR46" s="13"/>
      <c r="AS46" s="73"/>
      <c r="AT46" s="13"/>
      <c r="AU46" s="13"/>
      <c r="AV46" s="13"/>
      <c r="AW46" s="13"/>
      <c r="AX46" s="13"/>
      <c r="AY46" s="13"/>
      <c r="AZ46" s="73"/>
      <c r="BA46" s="13"/>
      <c r="BB46" s="13"/>
      <c r="BC46" s="13"/>
      <c r="BD46" s="13"/>
      <c r="BE46" s="13"/>
      <c r="BF46" s="13"/>
      <c r="BG46" s="79"/>
      <c r="BH46" s="13">
        <v>0</v>
      </c>
      <c r="BI46" s="33"/>
      <c r="BJ46" s="13">
        <v>0</v>
      </c>
      <c r="BK46" s="13">
        <v>0</v>
      </c>
      <c r="BL46" s="14">
        <v>0</v>
      </c>
      <c r="BP46" s="38">
        <f>$BP$1</f>
        <v>100</v>
      </c>
      <c r="BQ46" s="38">
        <f>-$BP$1</f>
        <v>-100</v>
      </c>
      <c r="BS46" s="38">
        <f t="shared" si="3"/>
        <v>5</v>
      </c>
    </row>
    <row r="47" spans="1:81" ht="15" customHeight="1" x14ac:dyDescent="0.2">
      <c r="A47" s="56"/>
      <c r="B47" s="34">
        <v>1</v>
      </c>
      <c r="C47" s="37" t="str">
        <f t="shared" si="4"/>
        <v>32</v>
      </c>
      <c r="D47" s="18">
        <v>7</v>
      </c>
      <c r="E47" s="19" t="s">
        <v>94</v>
      </c>
      <c r="F47" s="19" t="s">
        <v>17</v>
      </c>
      <c r="G47" s="19" t="s">
        <v>15</v>
      </c>
      <c r="H47" s="20">
        <v>2</v>
      </c>
      <c r="I47" s="20">
        <v>2</v>
      </c>
      <c r="J47" s="20">
        <v>1</v>
      </c>
      <c r="K47" s="20" t="s">
        <v>96</v>
      </c>
      <c r="L47" s="21" t="s">
        <v>83</v>
      </c>
      <c r="M47" s="22" t="s">
        <v>2</v>
      </c>
      <c r="N47" s="22" t="s">
        <v>22</v>
      </c>
      <c r="O47" s="22"/>
      <c r="P47" s="19" t="s">
        <v>7</v>
      </c>
      <c r="Q47" s="19" t="s">
        <v>4</v>
      </c>
      <c r="R47" s="19"/>
      <c r="S47" s="86"/>
      <c r="T47" s="23">
        <v>679</v>
      </c>
      <c r="U47" s="24"/>
      <c r="V47" s="24">
        <v>72</v>
      </c>
      <c r="W47" s="24">
        <v>5</v>
      </c>
      <c r="X47" s="24">
        <v>-18</v>
      </c>
      <c r="Y47" s="24"/>
      <c r="Z47" s="25">
        <f t="shared" ref="Z47:AB52" si="54">GetReferenceTemperature(M47,"AV2011")</f>
        <v>5</v>
      </c>
      <c r="AA47" s="25">
        <f t="shared" si="54"/>
        <v>-18</v>
      </c>
      <c r="AB47" s="25" t="str">
        <f t="shared" si="54"/>
        <v/>
      </c>
      <c r="AC47" s="53"/>
      <c r="AD47" s="24">
        <v>275</v>
      </c>
      <c r="AE47" s="24">
        <v>89</v>
      </c>
      <c r="AF47" s="24"/>
      <c r="AG47" s="25">
        <f t="shared" ref="AG47:AG52" si="55">EnergyLabel("AV2011",AD47:AF47,M47:O47,P47:R47,F47,E47,D47,T47,0)</f>
        <v>605.54399999999998</v>
      </c>
      <c r="AH47" s="25">
        <f t="shared" ref="AH47:AH52" si="56">EnergyLabel("EI2011",AD47:AF47,M47:O47,P47:R47,F47,E47,D47,T47*365/1000,0)</f>
        <v>32.040405524708888</v>
      </c>
      <c r="AI47" s="74"/>
      <c r="AJ47" s="25">
        <f t="shared" ref="AJ47:AL52" si="57">GetReferenceTemperature(M47,"AV_NG")</f>
        <v>4</v>
      </c>
      <c r="AK47" s="25">
        <f t="shared" si="57"/>
        <v>-18</v>
      </c>
      <c r="AL47" s="25" t="str">
        <f t="shared" si="57"/>
        <v/>
      </c>
      <c r="AM47" s="70">
        <v>277</v>
      </c>
      <c r="AN47" s="70">
        <v>89</v>
      </c>
      <c r="AO47" s="24"/>
      <c r="AP47" s="42">
        <f t="shared" ref="AP47:AR50" si="58">IF(AND(ISNUMBER(AM47),ISNUMBER(AD47)),(AM47-AD47)/AD47*100,"")</f>
        <v>0.72727272727272729</v>
      </c>
      <c r="AQ47" s="42">
        <f t="shared" si="58"/>
        <v>0</v>
      </c>
      <c r="AR47" s="42" t="str">
        <f t="shared" si="58"/>
        <v/>
      </c>
      <c r="AS47" s="74"/>
      <c r="AT47" s="24">
        <v>419</v>
      </c>
      <c r="AU47" s="24"/>
      <c r="AV47" s="24">
        <v>80</v>
      </c>
      <c r="AW47" s="24">
        <v>4</v>
      </c>
      <c r="AX47" s="24">
        <v>-18</v>
      </c>
      <c r="AY47" s="24"/>
      <c r="AZ47" s="74"/>
      <c r="BA47" s="24">
        <v>993</v>
      </c>
      <c r="BB47" s="43"/>
      <c r="BC47" s="43">
        <v>40</v>
      </c>
      <c r="BD47" s="43">
        <v>4</v>
      </c>
      <c r="BE47" s="43">
        <v>-18</v>
      </c>
      <c r="BF47" s="43"/>
      <c r="BG47" s="78">
        <f t="shared" ref="BG47:BG60" si="59">f_Cons*AT47+(1-f_Cons)*BA47</f>
        <v>741.875</v>
      </c>
      <c r="BH47" s="44">
        <f t="shared" ref="BH47:BH52" si="60">IF(AND(ISNUMBER(BG47),ISNUMBER(T47)),(BG47-T47)/T47*100,"not complete")</f>
        <v>9.2599410898379979</v>
      </c>
      <c r="BI47" s="25">
        <f t="shared" ref="BI47:BI60" si="61">EnergyLabel("AV_NG",AM47:AO47,M47:O47,P47:R47,F47,E47,D47,T47, f_Cons)</f>
        <v>594.82285714285706</v>
      </c>
      <c r="BJ47" s="42">
        <f t="shared" ref="BJ47:BJ52" si="62">IF(AND(ISNUMBER(BI47),ISNUMBER(AG47)),(BI47-AG47)/AG47*100,"")</f>
        <v>-1.7704977437053169</v>
      </c>
      <c r="BK47" s="42">
        <f t="shared" ref="BK47:BK60" si="63">EnergyLabel("EI_NG",AM47:AO47,M47:O47,P47:R47,F47,E47,D47,BG47*365/1000,f_Cons)</f>
        <v>35.388445758510166</v>
      </c>
      <c r="BL47" s="44">
        <f t="shared" ref="BL47:BL52" si="64">IF(AND(ISNUMBER(BK47),ISNUMBER(AH47)),(BK47-AH47)/AH47*100,"not complete")</f>
        <v>10.449431519271315</v>
      </c>
      <c r="BO47" s="38">
        <f t="shared" ref="BO47:BO62" si="65">C47+0</f>
        <v>32</v>
      </c>
      <c r="BS47" s="38">
        <f t="shared" si="3"/>
        <v>5</v>
      </c>
      <c r="BZ47" s="117">
        <f t="shared" ref="BZ47:BZ62" si="66">AT47/BA47</f>
        <v>0.42195367573011078</v>
      </c>
    </row>
    <row r="48" spans="1:81" ht="15" customHeight="1" x14ac:dyDescent="0.2">
      <c r="A48" s="56"/>
      <c r="B48" s="34">
        <v>2</v>
      </c>
      <c r="C48" s="37" t="str">
        <f t="shared" si="4"/>
        <v>40</v>
      </c>
      <c r="D48" s="18">
        <v>7</v>
      </c>
      <c r="E48" s="19" t="s">
        <v>94</v>
      </c>
      <c r="F48" s="19" t="s">
        <v>17</v>
      </c>
      <c r="G48" s="19" t="s">
        <v>15</v>
      </c>
      <c r="H48" s="20">
        <v>2</v>
      </c>
      <c r="I48" s="20">
        <v>2</v>
      </c>
      <c r="J48" s="20">
        <v>1</v>
      </c>
      <c r="K48" s="20" t="s">
        <v>94</v>
      </c>
      <c r="L48" s="21" t="s">
        <v>98</v>
      </c>
      <c r="M48" s="22" t="s">
        <v>2</v>
      </c>
      <c r="N48" s="22" t="s">
        <v>22</v>
      </c>
      <c r="O48" s="22" t="s">
        <v>20</v>
      </c>
      <c r="P48" s="19" t="s">
        <v>4</v>
      </c>
      <c r="Q48" s="19" t="s">
        <v>4</v>
      </c>
      <c r="R48" s="19" t="s">
        <v>4</v>
      </c>
      <c r="S48" s="86"/>
      <c r="T48" s="23">
        <v>1237</v>
      </c>
      <c r="U48" s="24">
        <v>43.3</v>
      </c>
      <c r="V48" s="24">
        <v>48</v>
      </c>
      <c r="W48" s="24"/>
      <c r="X48" s="24"/>
      <c r="Y48" s="24"/>
      <c r="Z48" s="25">
        <f t="shared" si="54"/>
        <v>5</v>
      </c>
      <c r="AA48" s="25">
        <f t="shared" si="54"/>
        <v>-18</v>
      </c>
      <c r="AB48" s="25">
        <f t="shared" si="54"/>
        <v>-12</v>
      </c>
      <c r="AC48" s="53"/>
      <c r="AD48" s="24">
        <v>384.1</v>
      </c>
      <c r="AE48" s="24">
        <v>173.1</v>
      </c>
      <c r="AF48" s="24">
        <v>29.2</v>
      </c>
      <c r="AG48" s="25">
        <f t="shared" si="55"/>
        <v>1074.6263999999999</v>
      </c>
      <c r="AH48" s="25">
        <f t="shared" si="56"/>
        <v>39.675840538233288</v>
      </c>
      <c r="AI48" s="74"/>
      <c r="AJ48" s="25">
        <f t="shared" si="57"/>
        <v>4</v>
      </c>
      <c r="AK48" s="25">
        <f t="shared" si="57"/>
        <v>-18</v>
      </c>
      <c r="AL48" s="25">
        <f t="shared" si="57"/>
        <v>-12</v>
      </c>
      <c r="AM48" s="70">
        <v>389</v>
      </c>
      <c r="AN48" s="70">
        <v>210</v>
      </c>
      <c r="AO48" s="24">
        <v>30</v>
      </c>
      <c r="AP48" s="42">
        <f t="shared" si="58"/>
        <v>1.2757094506638837</v>
      </c>
      <c r="AQ48" s="42">
        <f t="shared" si="58"/>
        <v>21.317157712305029</v>
      </c>
      <c r="AR48" s="42">
        <f t="shared" si="58"/>
        <v>2.7397260273972628</v>
      </c>
      <c r="AS48" s="74"/>
      <c r="AT48" s="24">
        <f>900-80*24/24+80*24/48</f>
        <v>860</v>
      </c>
      <c r="AU48" s="24"/>
      <c r="AV48" s="24">
        <v>24</v>
      </c>
      <c r="AW48" s="24">
        <v>4</v>
      </c>
      <c r="AX48" s="24">
        <v>-20.399999999999999</v>
      </c>
      <c r="AY48" s="24"/>
      <c r="AZ48" s="74"/>
      <c r="BA48" s="24">
        <v>1655</v>
      </c>
      <c r="BB48" s="43"/>
      <c r="BC48" s="43">
        <v>24</v>
      </c>
      <c r="BD48" s="43">
        <v>4</v>
      </c>
      <c r="BE48" s="43">
        <v>-18.8</v>
      </c>
      <c r="BF48" s="43"/>
      <c r="BG48" s="78">
        <f t="shared" si="59"/>
        <v>1307.1875</v>
      </c>
      <c r="BH48" s="44">
        <f t="shared" si="60"/>
        <v>5.6740097008892478</v>
      </c>
      <c r="BI48" s="25">
        <f t="shared" si="61"/>
        <v>1162.1142857142854</v>
      </c>
      <c r="BJ48" s="42">
        <f t="shared" si="62"/>
        <v>8.1412373373933082</v>
      </c>
      <c r="BK48" s="42">
        <f t="shared" si="63"/>
        <v>39.563694460558828</v>
      </c>
      <c r="BL48" s="44">
        <f t="shared" si="64"/>
        <v>-0.28265583325548255</v>
      </c>
      <c r="BO48" s="38">
        <f t="shared" si="65"/>
        <v>40</v>
      </c>
      <c r="BS48" s="38">
        <f t="shared" si="3"/>
        <v>5</v>
      </c>
      <c r="BZ48" s="117">
        <f t="shared" si="66"/>
        <v>0.51963746223564955</v>
      </c>
    </row>
    <row r="49" spans="1:78" ht="15" customHeight="1" x14ac:dyDescent="0.2">
      <c r="A49" s="56"/>
      <c r="B49" s="34">
        <v>3</v>
      </c>
      <c r="C49" s="37" t="str">
        <f t="shared" si="4"/>
        <v>44</v>
      </c>
      <c r="D49" s="18">
        <v>7</v>
      </c>
      <c r="E49" s="19" t="s">
        <v>94</v>
      </c>
      <c r="F49" s="19" t="s">
        <v>17</v>
      </c>
      <c r="G49" s="19" t="s">
        <v>15</v>
      </c>
      <c r="H49" s="20">
        <v>2</v>
      </c>
      <c r="I49" s="20">
        <v>2</v>
      </c>
      <c r="J49" s="20">
        <v>1</v>
      </c>
      <c r="K49" s="20" t="s">
        <v>94</v>
      </c>
      <c r="L49" s="21" t="s">
        <v>80</v>
      </c>
      <c r="M49" s="22" t="s">
        <v>2</v>
      </c>
      <c r="N49" s="22" t="s">
        <v>22</v>
      </c>
      <c r="O49" s="22"/>
      <c r="P49" s="19" t="s">
        <v>7</v>
      </c>
      <c r="Q49" s="19" t="s">
        <v>4</v>
      </c>
      <c r="R49" s="19"/>
      <c r="S49" s="86"/>
      <c r="T49" s="23">
        <v>817</v>
      </c>
      <c r="U49" s="24"/>
      <c r="V49" s="24">
        <v>72</v>
      </c>
      <c r="W49" s="24">
        <v>5</v>
      </c>
      <c r="X49" s="24">
        <v>-18</v>
      </c>
      <c r="Y49" s="24"/>
      <c r="Z49" s="25">
        <f t="shared" si="54"/>
        <v>5</v>
      </c>
      <c r="AA49" s="25">
        <f t="shared" si="54"/>
        <v>-18</v>
      </c>
      <c r="AB49" s="25" t="str">
        <f t="shared" si="54"/>
        <v/>
      </c>
      <c r="AC49" s="53"/>
      <c r="AD49" s="24">
        <v>250</v>
      </c>
      <c r="AE49" s="24">
        <v>60</v>
      </c>
      <c r="AF49" s="24"/>
      <c r="AG49" s="25">
        <f t="shared" si="55"/>
        <v>485.76</v>
      </c>
      <c r="AH49" s="25">
        <f t="shared" si="56"/>
        <v>43.825607457999837</v>
      </c>
      <c r="AI49" s="74"/>
      <c r="AJ49" s="25">
        <f t="shared" si="57"/>
        <v>4</v>
      </c>
      <c r="AK49" s="25">
        <f t="shared" si="57"/>
        <v>-18</v>
      </c>
      <c r="AL49" s="25" t="str">
        <f t="shared" si="57"/>
        <v/>
      </c>
      <c r="AM49" s="70">
        <v>252</v>
      </c>
      <c r="AN49" s="70">
        <v>60</v>
      </c>
      <c r="AO49" s="24"/>
      <c r="AP49" s="42">
        <f t="shared" si="58"/>
        <v>0.8</v>
      </c>
      <c r="AQ49" s="42">
        <f t="shared" si="58"/>
        <v>0</v>
      </c>
      <c r="AR49" s="42" t="str">
        <f t="shared" si="58"/>
        <v/>
      </c>
      <c r="AS49" s="74"/>
      <c r="AT49" s="24">
        <v>523</v>
      </c>
      <c r="AU49" s="24"/>
      <c r="AV49" s="24">
        <v>80</v>
      </c>
      <c r="AW49" s="24">
        <v>4</v>
      </c>
      <c r="AX49" s="24">
        <v>-18</v>
      </c>
      <c r="AY49" s="24"/>
      <c r="AZ49" s="74"/>
      <c r="BA49" s="24">
        <v>1292</v>
      </c>
      <c r="BB49" s="43"/>
      <c r="BC49" s="43">
        <v>40</v>
      </c>
      <c r="BD49" s="43">
        <v>4</v>
      </c>
      <c r="BE49" s="43">
        <v>-18</v>
      </c>
      <c r="BF49" s="43"/>
      <c r="BG49" s="78">
        <f t="shared" si="59"/>
        <v>955.5625</v>
      </c>
      <c r="BH49" s="44">
        <f t="shared" si="60"/>
        <v>16.959914320685435</v>
      </c>
      <c r="BI49" s="25">
        <f t="shared" si="61"/>
        <v>479.31428571428569</v>
      </c>
      <c r="BJ49" s="42">
        <f t="shared" si="62"/>
        <v>-1.3269339356295913</v>
      </c>
      <c r="BK49" s="42">
        <f t="shared" si="63"/>
        <v>51.638475989714358</v>
      </c>
      <c r="BL49" s="44">
        <f t="shared" si="64"/>
        <v>17.82717681483814</v>
      </c>
      <c r="BO49" s="38">
        <f t="shared" si="65"/>
        <v>44</v>
      </c>
      <c r="BS49" s="38">
        <f t="shared" si="3"/>
        <v>5</v>
      </c>
      <c r="BZ49" s="117">
        <f t="shared" si="66"/>
        <v>0.40479876160990713</v>
      </c>
    </row>
    <row r="50" spans="1:78" ht="15" customHeight="1" x14ac:dyDescent="0.2">
      <c r="A50" s="80"/>
      <c r="B50" s="45">
        <v>4</v>
      </c>
      <c r="C50" s="37" t="str">
        <f>TEXT(AH50,"00")</f>
        <v>32</v>
      </c>
      <c r="D50" s="18">
        <v>10</v>
      </c>
      <c r="E50" s="19" t="s">
        <v>94</v>
      </c>
      <c r="F50" s="19" t="s">
        <v>17</v>
      </c>
      <c r="G50" s="19" t="s">
        <v>15</v>
      </c>
      <c r="H50" s="20">
        <v>2</v>
      </c>
      <c r="I50" s="20">
        <v>1</v>
      </c>
      <c r="J50" s="20">
        <v>1</v>
      </c>
      <c r="K50" s="20" t="s">
        <v>94</v>
      </c>
      <c r="L50" s="21"/>
      <c r="M50" s="22" t="s">
        <v>2</v>
      </c>
      <c r="N50" s="22" t="s">
        <v>12</v>
      </c>
      <c r="O50" s="22" t="s">
        <v>22</v>
      </c>
      <c r="P50" s="19" t="s">
        <v>4</v>
      </c>
      <c r="Q50" s="19" t="s">
        <v>4</v>
      </c>
      <c r="R50" s="19" t="s">
        <v>4</v>
      </c>
      <c r="S50" s="86"/>
      <c r="T50" s="23">
        <v>693</v>
      </c>
      <c r="U50" s="24">
        <v>36.799999999999997</v>
      </c>
      <c r="V50" s="24">
        <v>54</v>
      </c>
      <c r="W50" s="24">
        <v>5</v>
      </c>
      <c r="X50" s="24">
        <v>1.5</v>
      </c>
      <c r="Y50" s="24">
        <v>-18</v>
      </c>
      <c r="Z50" s="25">
        <f t="shared" si="54"/>
        <v>5</v>
      </c>
      <c r="AA50" s="25">
        <f t="shared" si="54"/>
        <v>0</v>
      </c>
      <c r="AB50" s="25">
        <f t="shared" si="54"/>
        <v>-18</v>
      </c>
      <c r="AC50" s="53"/>
      <c r="AD50" s="24">
        <v>223</v>
      </c>
      <c r="AE50" s="24">
        <v>23</v>
      </c>
      <c r="AF50" s="24">
        <v>86</v>
      </c>
      <c r="AG50" s="25">
        <f t="shared" si="55"/>
        <v>568.35599999999999</v>
      </c>
      <c r="AH50" s="25">
        <f t="shared" si="56"/>
        <v>31.832492485029924</v>
      </c>
      <c r="AI50" s="74"/>
      <c r="AJ50" s="25">
        <f t="shared" si="57"/>
        <v>4</v>
      </c>
      <c r="AK50" s="25">
        <f t="shared" si="57"/>
        <v>2</v>
      </c>
      <c r="AL50" s="25">
        <f t="shared" si="57"/>
        <v>-18</v>
      </c>
      <c r="AM50" s="70">
        <v>223</v>
      </c>
      <c r="AN50" s="70">
        <v>23</v>
      </c>
      <c r="AO50" s="24">
        <v>86</v>
      </c>
      <c r="AP50" s="42">
        <f t="shared" si="58"/>
        <v>0</v>
      </c>
      <c r="AQ50" s="42">
        <f t="shared" si="58"/>
        <v>0</v>
      </c>
      <c r="AR50" s="42">
        <f t="shared" si="58"/>
        <v>0</v>
      </c>
      <c r="AS50" s="74"/>
      <c r="AT50" s="24">
        <f>585-70*24/15+70*24/41.6</f>
        <v>513.38461538461536</v>
      </c>
      <c r="AU50" s="24">
        <v>26.1</v>
      </c>
      <c r="AV50" s="24">
        <v>15</v>
      </c>
      <c r="AW50" s="24">
        <v>4</v>
      </c>
      <c r="AX50" s="24">
        <v>2</v>
      </c>
      <c r="AY50" s="24">
        <v>-18</v>
      </c>
      <c r="AZ50" s="74"/>
      <c r="BA50" s="24">
        <v>1071</v>
      </c>
      <c r="BB50" s="43">
        <v>52.4</v>
      </c>
      <c r="BC50" s="43">
        <v>20.8</v>
      </c>
      <c r="BD50" s="43">
        <v>4</v>
      </c>
      <c r="BE50" s="43">
        <v>2</v>
      </c>
      <c r="BF50" s="43">
        <v>-18</v>
      </c>
      <c r="BG50" s="78">
        <f t="shared" si="59"/>
        <v>827.04326923076928</v>
      </c>
      <c r="BH50" s="44">
        <f t="shared" si="60"/>
        <v>19.342463092463099</v>
      </c>
      <c r="BI50" s="25">
        <f t="shared" si="61"/>
        <v>551.40571428571423</v>
      </c>
      <c r="BJ50" s="42">
        <f t="shared" si="62"/>
        <v>-2.9823360207837641</v>
      </c>
      <c r="BK50" s="42">
        <f t="shared" si="63"/>
        <v>38.62995597335906</v>
      </c>
      <c r="BL50" s="44">
        <f t="shared" si="64"/>
        <v>21.353852487441326</v>
      </c>
      <c r="BO50" s="38">
        <f t="shared" si="65"/>
        <v>32</v>
      </c>
      <c r="BS50" s="38">
        <f t="shared" si="3"/>
        <v>5</v>
      </c>
      <c r="BZ50" s="117">
        <f t="shared" si="66"/>
        <v>0.47935071464483225</v>
      </c>
    </row>
    <row r="51" spans="1:78" ht="15" customHeight="1" x14ac:dyDescent="0.2">
      <c r="A51" s="80"/>
      <c r="B51" s="45">
        <v>5</v>
      </c>
      <c r="C51" s="59" t="str">
        <f>TEXT(AH51,"00")</f>
        <v>31</v>
      </c>
      <c r="D51" s="60">
        <v>7</v>
      </c>
      <c r="E51" s="61" t="s">
        <v>94</v>
      </c>
      <c r="F51" s="61" t="s">
        <v>17</v>
      </c>
      <c r="G51" s="61" t="s">
        <v>15</v>
      </c>
      <c r="H51" s="62">
        <v>2</v>
      </c>
      <c r="I51" s="62">
        <v>2</v>
      </c>
      <c r="J51" s="62">
        <v>1</v>
      </c>
      <c r="K51" s="62" t="s">
        <v>94</v>
      </c>
      <c r="L51" s="63"/>
      <c r="M51" s="64" t="s">
        <v>2</v>
      </c>
      <c r="N51" s="64" t="s">
        <v>22</v>
      </c>
      <c r="O51" s="64"/>
      <c r="P51" s="61" t="s">
        <v>4</v>
      </c>
      <c r="Q51" s="61" t="s">
        <v>4</v>
      </c>
      <c r="R51" s="61"/>
      <c r="S51" s="86"/>
      <c r="T51" s="65">
        <v>642</v>
      </c>
      <c r="U51" s="66"/>
      <c r="V51" s="66">
        <v>48</v>
      </c>
      <c r="W51" s="66">
        <v>5</v>
      </c>
      <c r="X51" s="66">
        <v>-18</v>
      </c>
      <c r="Y51" s="66"/>
      <c r="Z51" s="67">
        <f t="shared" si="54"/>
        <v>5</v>
      </c>
      <c r="AA51" s="67">
        <f t="shared" si="54"/>
        <v>-18</v>
      </c>
      <c r="AB51" s="67" t="str">
        <f t="shared" si="54"/>
        <v/>
      </c>
      <c r="AC51" s="53">
        <v>38</v>
      </c>
      <c r="AD51" s="66">
        <v>268</v>
      </c>
      <c r="AE51" s="66">
        <v>86</v>
      </c>
      <c r="AF51" s="66"/>
      <c r="AG51" s="67">
        <f t="shared" si="55"/>
        <v>587.85599999999999</v>
      </c>
      <c r="AH51" s="67">
        <f t="shared" si="56"/>
        <v>30.842467589466771</v>
      </c>
      <c r="AI51" s="74"/>
      <c r="AJ51" s="67">
        <f t="shared" si="57"/>
        <v>4</v>
      </c>
      <c r="AK51" s="67">
        <f t="shared" si="57"/>
        <v>-18</v>
      </c>
      <c r="AL51" s="67" t="str">
        <f t="shared" si="57"/>
        <v/>
      </c>
      <c r="AM51" s="66">
        <v>271</v>
      </c>
      <c r="AN51" s="66">
        <v>88</v>
      </c>
      <c r="AO51" s="66"/>
      <c r="AP51" s="68">
        <f t="shared" ref="AP51:AR52" si="67">IF(AND(ISNUMBER(AM51),ISNUMBER(AD51)),(AM51-AD51)/AD51*100,"")</f>
        <v>1.1194029850746268</v>
      </c>
      <c r="AQ51" s="68">
        <f t="shared" si="67"/>
        <v>2.3255813953488373</v>
      </c>
      <c r="AR51" s="68" t="str">
        <f t="shared" si="67"/>
        <v/>
      </c>
      <c r="AS51" s="74"/>
      <c r="AT51" s="66">
        <f>464-70*24/26+70*24/96</f>
        <v>416.88461538461536</v>
      </c>
      <c r="AU51" s="66"/>
      <c r="AV51" s="66">
        <v>26</v>
      </c>
      <c r="AW51" s="66">
        <v>4</v>
      </c>
      <c r="AX51" s="66">
        <v>-18</v>
      </c>
      <c r="AY51" s="66"/>
      <c r="AZ51" s="74"/>
      <c r="BA51" s="66">
        <v>908</v>
      </c>
      <c r="BB51" s="69"/>
      <c r="BC51" s="69">
        <v>48</v>
      </c>
      <c r="BD51" s="69">
        <v>4</v>
      </c>
      <c r="BE51" s="69">
        <v>-18</v>
      </c>
      <c r="BF51" s="69"/>
      <c r="BG51" s="78">
        <f t="shared" si="59"/>
        <v>693.13701923076928</v>
      </c>
      <c r="BH51" s="44">
        <f t="shared" si="60"/>
        <v>7.9652677929547169</v>
      </c>
      <c r="BI51" s="67">
        <f t="shared" si="61"/>
        <v>584.67428571428559</v>
      </c>
      <c r="BJ51" s="68">
        <f t="shared" si="62"/>
        <v>-0.54124042039451947</v>
      </c>
      <c r="BK51" s="68">
        <f t="shared" si="63"/>
        <v>33.407858361836318</v>
      </c>
      <c r="BL51" s="44">
        <f t="shared" si="64"/>
        <v>8.317722195631557</v>
      </c>
      <c r="BO51" s="38">
        <f t="shared" si="65"/>
        <v>31</v>
      </c>
      <c r="BS51" s="38">
        <f t="shared" si="3"/>
        <v>5</v>
      </c>
      <c r="BZ51" s="117">
        <f t="shared" si="66"/>
        <v>0.45912402575398165</v>
      </c>
    </row>
    <row r="52" spans="1:78" ht="15" customHeight="1" x14ac:dyDescent="0.2">
      <c r="A52" s="80"/>
      <c r="B52" s="45">
        <v>6</v>
      </c>
      <c r="C52" s="59" t="str">
        <f>TEXT(AH52,"00")</f>
        <v>33</v>
      </c>
      <c r="D52" s="60">
        <v>7</v>
      </c>
      <c r="E52" s="61" t="s">
        <v>94</v>
      </c>
      <c r="F52" s="61" t="s">
        <v>17</v>
      </c>
      <c r="G52" s="61" t="s">
        <v>15</v>
      </c>
      <c r="H52" s="62">
        <v>2</v>
      </c>
      <c r="I52" s="62">
        <v>2</v>
      </c>
      <c r="J52" s="62">
        <v>1</v>
      </c>
      <c r="K52" s="62" t="s">
        <v>94</v>
      </c>
      <c r="L52" s="63"/>
      <c r="M52" s="64" t="s">
        <v>2</v>
      </c>
      <c r="N52" s="64" t="s">
        <v>22</v>
      </c>
      <c r="O52" s="64"/>
      <c r="P52" s="61" t="s">
        <v>4</v>
      </c>
      <c r="Q52" s="61" t="s">
        <v>4</v>
      </c>
      <c r="R52" s="61"/>
      <c r="S52" s="86"/>
      <c r="T52" s="65">
        <v>627</v>
      </c>
      <c r="U52" s="66"/>
      <c r="V52" s="66">
        <v>48</v>
      </c>
      <c r="W52" s="66">
        <v>5</v>
      </c>
      <c r="X52" s="66">
        <v>-18</v>
      </c>
      <c r="Y52" s="66"/>
      <c r="Z52" s="67">
        <f t="shared" si="54"/>
        <v>5</v>
      </c>
      <c r="AA52" s="67">
        <f t="shared" si="54"/>
        <v>-18</v>
      </c>
      <c r="AB52" s="67" t="str">
        <f t="shared" si="54"/>
        <v/>
      </c>
      <c r="AC52" s="53"/>
      <c r="AD52" s="66">
        <v>194</v>
      </c>
      <c r="AE52" s="66">
        <v>87</v>
      </c>
      <c r="AF52" s="66"/>
      <c r="AG52" s="67">
        <f t="shared" si="55"/>
        <v>502.15199999999993</v>
      </c>
      <c r="AH52" s="67">
        <f t="shared" si="56"/>
        <v>33.01561021849777</v>
      </c>
      <c r="AI52" s="74"/>
      <c r="AJ52" s="67">
        <f t="shared" si="57"/>
        <v>4</v>
      </c>
      <c r="AK52" s="67">
        <f t="shared" si="57"/>
        <v>-18</v>
      </c>
      <c r="AL52" s="67" t="str">
        <f t="shared" si="57"/>
        <v/>
      </c>
      <c r="AM52" s="66">
        <v>196</v>
      </c>
      <c r="AN52" s="66">
        <v>89</v>
      </c>
      <c r="AO52" s="66"/>
      <c r="AP52" s="68">
        <f t="shared" si="67"/>
        <v>1.0309278350515463</v>
      </c>
      <c r="AQ52" s="68">
        <f t="shared" si="67"/>
        <v>2.2988505747126435</v>
      </c>
      <c r="AR52" s="68" t="str">
        <f t="shared" si="67"/>
        <v/>
      </c>
      <c r="AS52" s="74"/>
      <c r="AT52" s="66">
        <f>404-70*24/28+70*24/56</f>
        <v>374</v>
      </c>
      <c r="AU52" s="66"/>
      <c r="AV52" s="66">
        <v>28</v>
      </c>
      <c r="AW52" s="66">
        <v>4</v>
      </c>
      <c r="AX52" s="66">
        <v>-18</v>
      </c>
      <c r="AY52" s="66"/>
      <c r="AZ52" s="74"/>
      <c r="BA52" s="66">
        <v>853</v>
      </c>
      <c r="BB52" s="69"/>
      <c r="BC52" s="69">
        <v>28</v>
      </c>
      <c r="BD52" s="69">
        <v>4</v>
      </c>
      <c r="BE52" s="69">
        <v>-18</v>
      </c>
      <c r="BF52" s="69"/>
      <c r="BG52" s="78">
        <f t="shared" si="59"/>
        <v>643.4375</v>
      </c>
      <c r="BH52" s="44">
        <f t="shared" si="60"/>
        <v>2.6216108452950557</v>
      </c>
      <c r="BI52" s="67">
        <f t="shared" si="61"/>
        <v>497.62285714285707</v>
      </c>
      <c r="BJ52" s="68">
        <f t="shared" si="62"/>
        <v>-0.90194659329104721</v>
      </c>
      <c r="BK52" s="68">
        <f t="shared" si="63"/>
        <v>34.054038932856898</v>
      </c>
      <c r="BL52" s="44">
        <f t="shared" si="64"/>
        <v>3.1452658529913342</v>
      </c>
      <c r="BO52" s="38">
        <f t="shared" si="65"/>
        <v>33</v>
      </c>
      <c r="BS52" s="38">
        <f t="shared" si="3"/>
        <v>5</v>
      </c>
      <c r="BZ52" s="117">
        <f t="shared" si="66"/>
        <v>0.4384525205158265</v>
      </c>
    </row>
    <row r="53" spans="1:78" ht="15" customHeight="1" x14ac:dyDescent="0.2">
      <c r="A53" s="80"/>
      <c r="B53" s="45">
        <v>7</v>
      </c>
      <c r="C53" s="59" t="str">
        <f t="shared" ref="C53:C62" si="68">TEXT(AH53,"00")</f>
        <v>36</v>
      </c>
      <c r="D53" s="60">
        <v>10</v>
      </c>
      <c r="E53" s="61" t="s">
        <v>95</v>
      </c>
      <c r="F53" s="61" t="s">
        <v>16</v>
      </c>
      <c r="G53" s="61" t="s">
        <v>15</v>
      </c>
      <c r="H53" s="62">
        <v>3</v>
      </c>
      <c r="I53" s="62">
        <v>3</v>
      </c>
      <c r="J53" s="62">
        <v>1</v>
      </c>
      <c r="K53" s="62" t="s">
        <v>94</v>
      </c>
      <c r="L53" s="63"/>
      <c r="M53" s="64" t="s">
        <v>2</v>
      </c>
      <c r="N53" s="64" t="s">
        <v>22</v>
      </c>
      <c r="O53" s="64" t="s">
        <v>12</v>
      </c>
      <c r="P53" s="61" t="s">
        <v>7</v>
      </c>
      <c r="Q53" s="61" t="s">
        <v>4</v>
      </c>
      <c r="R53" s="61" t="s">
        <v>7</v>
      </c>
      <c r="S53" s="86"/>
      <c r="T53" s="65">
        <v>711</v>
      </c>
      <c r="U53" s="66"/>
      <c r="V53" s="66">
        <v>72</v>
      </c>
      <c r="W53" s="66">
        <v>5</v>
      </c>
      <c r="X53" s="66">
        <v>-18</v>
      </c>
      <c r="Y53" s="66">
        <v>1.8</v>
      </c>
      <c r="Z53" s="67">
        <f t="shared" ref="Z53:Z60" si="69">GetReferenceTemperature(M53,"AV2011")</f>
        <v>5</v>
      </c>
      <c r="AA53" s="67">
        <f t="shared" ref="AA53:AA60" si="70">GetReferenceTemperature(N53,"AV2011")</f>
        <v>-18</v>
      </c>
      <c r="AB53" s="67">
        <f t="shared" ref="AB53:AB60" si="71">GetReferenceTemperature(O53,"AV2011")</f>
        <v>0</v>
      </c>
      <c r="AC53" s="53">
        <v>69</v>
      </c>
      <c r="AD53" s="66">
        <v>128</v>
      </c>
      <c r="AE53" s="66">
        <v>61</v>
      </c>
      <c r="AF53" s="66">
        <v>56</v>
      </c>
      <c r="AG53" s="67">
        <f t="shared" ref="AG53:AG60" si="72">EnergyLabel("AV2011",AD53:AF53,M53:O53,P53:R53,F53,E53,D53,T53,0)</f>
        <v>469.10159999999996</v>
      </c>
      <c r="AH53" s="67">
        <f t="shared" ref="AH53:AH60" si="73">EnergyLabel("EI2011",AD53:AF53,M53:O53,P53:R53,F53,E53,D53,T53*365/1000,0)</f>
        <v>36.169744128772813</v>
      </c>
      <c r="AI53" s="74"/>
      <c r="AJ53" s="67">
        <f t="shared" ref="AJ53:AJ60" si="74">GetReferenceTemperature(M53,"AV_NG")</f>
        <v>4</v>
      </c>
      <c r="AK53" s="67">
        <f t="shared" ref="AK53:AK60" si="75">GetReferenceTemperature(N53,"AV_NG")</f>
        <v>-18</v>
      </c>
      <c r="AL53" s="67">
        <f t="shared" ref="AL53:AL60" si="76">GetReferenceTemperature(O53,"AV_NG")</f>
        <v>2</v>
      </c>
      <c r="AM53" s="66">
        <v>129</v>
      </c>
      <c r="AN53" s="66">
        <v>63</v>
      </c>
      <c r="AO53" s="66">
        <v>58</v>
      </c>
      <c r="AP53" s="68">
        <f t="shared" ref="AP53:AP60" si="77">IF(AND(ISNUMBER(AM53),ISNUMBER(AD53)),(AM53-AD53)/AD53*100,"")</f>
        <v>0.78125</v>
      </c>
      <c r="AQ53" s="68">
        <f t="shared" ref="AQ53:AQ60" si="78">IF(AND(ISNUMBER(AN53),ISNUMBER(AE53)),(AN53-AE53)/AE53*100,"")</f>
        <v>3.278688524590164</v>
      </c>
      <c r="AR53" s="68">
        <f t="shared" ref="AR53:AR60" si="79">IF(AND(ISNUMBER(AO53),ISNUMBER(AF53)),(AO53-AF53)/AF53*100,"")</f>
        <v>3.5714285714285712</v>
      </c>
      <c r="AS53" s="74"/>
      <c r="AT53" s="66">
        <f>397-70*24/36+70*24/72</f>
        <v>373.66666666666663</v>
      </c>
      <c r="AU53" s="66"/>
      <c r="AV53" s="66">
        <v>36</v>
      </c>
      <c r="AW53" s="66">
        <v>4</v>
      </c>
      <c r="AX53" s="66">
        <v>-20.5</v>
      </c>
      <c r="AY53" s="66">
        <v>-1</v>
      </c>
      <c r="AZ53" s="74"/>
      <c r="BA53" s="66">
        <v>961</v>
      </c>
      <c r="BB53" s="69"/>
      <c r="BC53" s="69">
        <v>36</v>
      </c>
      <c r="BD53" s="69">
        <v>4</v>
      </c>
      <c r="BE53" s="69">
        <v>-20.100000000000001</v>
      </c>
      <c r="BF53" s="69">
        <v>-0.6</v>
      </c>
      <c r="BG53" s="78">
        <f t="shared" si="59"/>
        <v>704.04166666666663</v>
      </c>
      <c r="BH53" s="44">
        <f t="shared" ref="BH53:BH60" si="80">IF(AND(ISNUMBER(BG53),ISNUMBER(T53)),(BG53-T53)/T53*100,"not complete")</f>
        <v>-0.97866854195968656</v>
      </c>
      <c r="BI53" s="67">
        <f t="shared" si="61"/>
        <v>458.46742857142857</v>
      </c>
      <c r="BJ53" s="68">
        <f t="shared" ref="BJ53:BJ60" si="81">IF(AND(ISNUMBER(BI53),ISNUMBER(AG53)),(BI53-AG53)/AG53*100,"")</f>
        <v>-2.2669228645929564</v>
      </c>
      <c r="BK53" s="68">
        <f t="shared" si="63"/>
        <v>36.233027522270028</v>
      </c>
      <c r="BL53" s="44">
        <f t="shared" ref="BL53:BL60" si="82">IF(AND(ISNUMBER(BK53),ISNUMBER(AH53)),(BK53-AH53)/AH53*100,"not complete")</f>
        <v>0.1749622371447021</v>
      </c>
      <c r="BO53" s="38">
        <f t="shared" si="65"/>
        <v>36</v>
      </c>
      <c r="BS53" s="38">
        <f t="shared" si="3"/>
        <v>5</v>
      </c>
      <c r="BZ53" s="117">
        <f t="shared" si="66"/>
        <v>0.38883107873742623</v>
      </c>
    </row>
    <row r="54" spans="1:78" ht="15" customHeight="1" x14ac:dyDescent="0.2">
      <c r="A54" s="80"/>
      <c r="B54" s="45">
        <v>8</v>
      </c>
      <c r="C54" s="59" t="str">
        <f t="shared" si="68"/>
        <v>31</v>
      </c>
      <c r="D54" s="60">
        <v>10</v>
      </c>
      <c r="E54" s="61" t="s">
        <v>94</v>
      </c>
      <c r="F54" s="61" t="s">
        <v>17</v>
      </c>
      <c r="G54" s="61" t="s">
        <v>15</v>
      </c>
      <c r="H54" s="62">
        <v>3</v>
      </c>
      <c r="I54" s="62">
        <v>3</v>
      </c>
      <c r="J54" s="62">
        <v>1</v>
      </c>
      <c r="K54" s="62" t="s">
        <v>96</v>
      </c>
      <c r="L54" s="63"/>
      <c r="M54" s="64" t="s">
        <v>2</v>
      </c>
      <c r="N54" s="64" t="s">
        <v>22</v>
      </c>
      <c r="O54" s="64" t="s">
        <v>12</v>
      </c>
      <c r="P54" s="61" t="s">
        <v>4</v>
      </c>
      <c r="Q54" s="61" t="s">
        <v>4</v>
      </c>
      <c r="R54" s="61" t="s">
        <v>4</v>
      </c>
      <c r="S54" s="86"/>
      <c r="T54" s="65">
        <v>738</v>
      </c>
      <c r="U54" s="66"/>
      <c r="V54" s="66">
        <v>48</v>
      </c>
      <c r="W54" s="66">
        <v>5</v>
      </c>
      <c r="X54" s="66">
        <v>-18</v>
      </c>
      <c r="Y54" s="66">
        <v>2.2999999999999998</v>
      </c>
      <c r="Z54" s="67">
        <f t="shared" si="69"/>
        <v>5</v>
      </c>
      <c r="AA54" s="67">
        <f t="shared" si="70"/>
        <v>-18</v>
      </c>
      <c r="AB54" s="67">
        <f t="shared" si="71"/>
        <v>0</v>
      </c>
      <c r="AC54" s="53">
        <v>70</v>
      </c>
      <c r="AD54" s="66">
        <v>267</v>
      </c>
      <c r="AE54" s="66">
        <v>92</v>
      </c>
      <c r="AF54" s="66">
        <v>36</v>
      </c>
      <c r="AG54" s="67">
        <f t="shared" si="72"/>
        <v>659.23199999999997</v>
      </c>
      <c r="AH54" s="67">
        <f t="shared" si="73"/>
        <v>31.133004763958823</v>
      </c>
      <c r="AI54" s="74"/>
      <c r="AJ54" s="67">
        <f t="shared" si="74"/>
        <v>4</v>
      </c>
      <c r="AK54" s="67">
        <f t="shared" si="75"/>
        <v>-18</v>
      </c>
      <c r="AL54" s="67">
        <f t="shared" si="76"/>
        <v>2</v>
      </c>
      <c r="AM54" s="66">
        <v>269</v>
      </c>
      <c r="AN54" s="66">
        <v>94</v>
      </c>
      <c r="AO54" s="66">
        <v>38</v>
      </c>
      <c r="AP54" s="68">
        <f t="shared" si="77"/>
        <v>0.74906367041198507</v>
      </c>
      <c r="AQ54" s="68">
        <f t="shared" si="78"/>
        <v>2.1739130434782608</v>
      </c>
      <c r="AR54" s="68">
        <f t="shared" si="79"/>
        <v>5.5555555555555554</v>
      </c>
      <c r="AS54" s="74"/>
      <c r="AT54" s="66">
        <f>506-70*24/25+70*24/98</f>
        <v>455.94285714285718</v>
      </c>
      <c r="AU54" s="66"/>
      <c r="AV54" s="66">
        <v>25</v>
      </c>
      <c r="AW54" s="66">
        <v>4</v>
      </c>
      <c r="AX54" s="66">
        <v>-18</v>
      </c>
      <c r="AY54" s="66"/>
      <c r="AZ54" s="74"/>
      <c r="BA54" s="66">
        <v>949</v>
      </c>
      <c r="BB54" s="69"/>
      <c r="BC54" s="69">
        <v>49</v>
      </c>
      <c r="BD54" s="69">
        <v>4</v>
      </c>
      <c r="BE54" s="69">
        <v>-18</v>
      </c>
      <c r="BF54" s="69"/>
      <c r="BG54" s="78">
        <f t="shared" si="59"/>
        <v>733.28750000000002</v>
      </c>
      <c r="BH54" s="44">
        <f t="shared" si="80"/>
        <v>-0.63855013550135198</v>
      </c>
      <c r="BI54" s="67">
        <f t="shared" si="61"/>
        <v>649.90857142857146</v>
      </c>
      <c r="BJ54" s="68">
        <f t="shared" si="81"/>
        <v>-1.4142864077333182</v>
      </c>
      <c r="BK54" s="68">
        <f t="shared" si="63"/>
        <v>31.195396388275071</v>
      </c>
      <c r="BL54" s="44">
        <f t="shared" si="82"/>
        <v>0.20040347788234086</v>
      </c>
      <c r="BN54" s="34" t="str">
        <f>B46</f>
        <v>Cat 7-II-NF</v>
      </c>
      <c r="BO54" s="38">
        <f t="shared" si="65"/>
        <v>31</v>
      </c>
      <c r="BR54" s="82">
        <f>AVERAGE(BH47:BH62)</f>
        <v>8.4728282333540825</v>
      </c>
      <c r="BS54" s="38">
        <f t="shared" si="3"/>
        <v>5</v>
      </c>
      <c r="BZ54" s="117">
        <f t="shared" si="66"/>
        <v>0.48044558181544489</v>
      </c>
    </row>
    <row r="55" spans="1:78" ht="15" customHeight="1" x14ac:dyDescent="0.2">
      <c r="A55" s="80"/>
      <c r="B55" s="45">
        <v>9</v>
      </c>
      <c r="C55" s="59" t="str">
        <f t="shared" si="68"/>
        <v>30</v>
      </c>
      <c r="D55" s="60">
        <v>10</v>
      </c>
      <c r="E55" s="61" t="s">
        <v>94</v>
      </c>
      <c r="F55" s="61" t="s">
        <v>17</v>
      </c>
      <c r="G55" s="61" t="s">
        <v>15</v>
      </c>
      <c r="H55" s="62">
        <v>3</v>
      </c>
      <c r="I55" s="62">
        <v>3</v>
      </c>
      <c r="J55" s="62">
        <v>1</v>
      </c>
      <c r="K55" s="62" t="s">
        <v>94</v>
      </c>
      <c r="L55" s="63"/>
      <c r="M55" s="64" t="s">
        <v>2</v>
      </c>
      <c r="N55" s="64" t="s">
        <v>22</v>
      </c>
      <c r="O55" s="64" t="s">
        <v>12</v>
      </c>
      <c r="P55" s="61" t="s">
        <v>4</v>
      </c>
      <c r="Q55" s="61" t="s">
        <v>4</v>
      </c>
      <c r="R55" s="61" t="s">
        <v>4</v>
      </c>
      <c r="S55" s="86"/>
      <c r="T55" s="65">
        <v>647</v>
      </c>
      <c r="U55" s="66"/>
      <c r="V55" s="66">
        <v>48</v>
      </c>
      <c r="W55" s="66">
        <v>5</v>
      </c>
      <c r="X55" s="66">
        <v>-18</v>
      </c>
      <c r="Y55" s="66">
        <v>2.1</v>
      </c>
      <c r="Z55" s="67">
        <f t="shared" si="69"/>
        <v>5</v>
      </c>
      <c r="AA55" s="67">
        <f t="shared" si="70"/>
        <v>-18</v>
      </c>
      <c r="AB55" s="67">
        <f t="shared" si="71"/>
        <v>0</v>
      </c>
      <c r="AC55" s="53">
        <v>35</v>
      </c>
      <c r="AD55" s="66">
        <v>211</v>
      </c>
      <c r="AE55" s="66">
        <v>86</v>
      </c>
      <c r="AF55" s="66">
        <v>23</v>
      </c>
      <c r="AG55" s="67">
        <f t="shared" si="72"/>
        <v>553.9559999999999</v>
      </c>
      <c r="AH55" s="67">
        <f t="shared" si="73"/>
        <v>30.143965039449174</v>
      </c>
      <c r="AI55" s="74"/>
      <c r="AJ55" s="67">
        <f t="shared" si="74"/>
        <v>4</v>
      </c>
      <c r="AK55" s="67">
        <f t="shared" si="75"/>
        <v>-18</v>
      </c>
      <c r="AL55" s="67">
        <f t="shared" si="76"/>
        <v>2</v>
      </c>
      <c r="AM55" s="66">
        <v>213</v>
      </c>
      <c r="AN55" s="66">
        <v>88</v>
      </c>
      <c r="AO55" s="66">
        <v>24</v>
      </c>
      <c r="AP55" s="68">
        <f t="shared" si="77"/>
        <v>0.94786729857819907</v>
      </c>
      <c r="AQ55" s="68">
        <f t="shared" si="78"/>
        <v>2.3255813953488373</v>
      </c>
      <c r="AR55" s="68">
        <f t="shared" si="79"/>
        <v>4.3478260869565215</v>
      </c>
      <c r="AS55" s="74"/>
      <c r="AT55" s="66">
        <f>514-70*24/24+70*24/80</f>
        <v>465</v>
      </c>
      <c r="AU55" s="66"/>
      <c r="AV55" s="66">
        <v>24</v>
      </c>
      <c r="AW55" s="66">
        <v>4</v>
      </c>
      <c r="AX55" s="66">
        <v>-19.2</v>
      </c>
      <c r="AY55" s="66"/>
      <c r="AZ55" s="74"/>
      <c r="BA55" s="66">
        <v>914</v>
      </c>
      <c r="BB55" s="69"/>
      <c r="BC55" s="69">
        <v>40</v>
      </c>
      <c r="BD55" s="69">
        <v>4</v>
      </c>
      <c r="BE55" s="69">
        <v>-19.100000000000001</v>
      </c>
      <c r="BF55" s="69"/>
      <c r="BG55" s="78">
        <f t="shared" si="59"/>
        <v>717.5625</v>
      </c>
      <c r="BH55" s="44">
        <f t="shared" si="80"/>
        <v>10.906105100463678</v>
      </c>
      <c r="BI55" s="67">
        <f t="shared" si="61"/>
        <v>546.61714285714288</v>
      </c>
      <c r="BJ55" s="68">
        <f t="shared" si="81"/>
        <v>-1.3248086748508949</v>
      </c>
      <c r="BK55" s="68">
        <f t="shared" si="63"/>
        <v>33.676618913669763</v>
      </c>
      <c r="BL55" s="44">
        <f t="shared" si="82"/>
        <v>11.719274055677255</v>
      </c>
      <c r="BO55" s="38">
        <f t="shared" si="65"/>
        <v>30</v>
      </c>
      <c r="BS55" s="38">
        <f t="shared" si="3"/>
        <v>5</v>
      </c>
      <c r="BZ55" s="117">
        <f t="shared" si="66"/>
        <v>0.50875273522975928</v>
      </c>
    </row>
    <row r="56" spans="1:78" ht="15" customHeight="1" x14ac:dyDescent="0.2">
      <c r="A56" s="80"/>
      <c r="B56" s="45">
        <v>10</v>
      </c>
      <c r="C56" s="59" t="str">
        <f t="shared" si="68"/>
        <v>31</v>
      </c>
      <c r="D56" s="60">
        <v>10</v>
      </c>
      <c r="E56" s="61" t="s">
        <v>94</v>
      </c>
      <c r="F56" s="61" t="s">
        <v>17</v>
      </c>
      <c r="G56" s="61" t="s">
        <v>15</v>
      </c>
      <c r="H56" s="62">
        <v>3</v>
      </c>
      <c r="I56" s="62">
        <v>3</v>
      </c>
      <c r="J56" s="62">
        <v>1</v>
      </c>
      <c r="K56" s="62" t="s">
        <v>94</v>
      </c>
      <c r="L56" s="63"/>
      <c r="M56" s="64" t="s">
        <v>2</v>
      </c>
      <c r="N56" s="64" t="s">
        <v>22</v>
      </c>
      <c r="O56" s="64" t="s">
        <v>12</v>
      </c>
      <c r="P56" s="61" t="s">
        <v>4</v>
      </c>
      <c r="Q56" s="61" t="s">
        <v>4</v>
      </c>
      <c r="R56" s="61" t="s">
        <v>4</v>
      </c>
      <c r="S56" s="86"/>
      <c r="T56" s="65">
        <v>693</v>
      </c>
      <c r="U56" s="66"/>
      <c r="V56" s="66">
        <v>48</v>
      </c>
      <c r="W56" s="66">
        <v>5</v>
      </c>
      <c r="X56" s="66">
        <v>-18</v>
      </c>
      <c r="Y56" s="66">
        <v>2</v>
      </c>
      <c r="Z56" s="67">
        <f t="shared" si="69"/>
        <v>5</v>
      </c>
      <c r="AA56" s="67">
        <f t="shared" si="70"/>
        <v>-18</v>
      </c>
      <c r="AB56" s="67">
        <f t="shared" si="71"/>
        <v>0</v>
      </c>
      <c r="AC56" s="53"/>
      <c r="AD56" s="66">
        <v>246</v>
      </c>
      <c r="AE56" s="66">
        <v>86</v>
      </c>
      <c r="AF56" s="66">
        <v>23</v>
      </c>
      <c r="AG56" s="67">
        <f t="shared" si="72"/>
        <v>595.9559999999999</v>
      </c>
      <c r="AH56" s="67">
        <f t="shared" si="73"/>
        <v>30.995965761308099</v>
      </c>
      <c r="AI56" s="74"/>
      <c r="AJ56" s="67">
        <f t="shared" si="74"/>
        <v>4</v>
      </c>
      <c r="AK56" s="67">
        <f t="shared" si="75"/>
        <v>-18</v>
      </c>
      <c r="AL56" s="67">
        <f t="shared" si="76"/>
        <v>2</v>
      </c>
      <c r="AM56" s="66">
        <v>248</v>
      </c>
      <c r="AN56" s="66">
        <v>88</v>
      </c>
      <c r="AO56" s="66">
        <v>24</v>
      </c>
      <c r="AP56" s="68">
        <f t="shared" si="77"/>
        <v>0.81300813008130091</v>
      </c>
      <c r="AQ56" s="68">
        <f t="shared" si="78"/>
        <v>2.3255813953488373</v>
      </c>
      <c r="AR56" s="68">
        <f t="shared" si="79"/>
        <v>4.3478260869565215</v>
      </c>
      <c r="AS56" s="74"/>
      <c r="AT56" s="66">
        <f>507-70*24/28+70*24/56</f>
        <v>477</v>
      </c>
      <c r="AU56" s="66"/>
      <c r="AV56" s="66">
        <v>28</v>
      </c>
      <c r="AW56" s="66">
        <v>4</v>
      </c>
      <c r="AX56" s="66">
        <v>-18</v>
      </c>
      <c r="AY56" s="66"/>
      <c r="AZ56" s="74"/>
      <c r="BA56" s="66">
        <v>1073</v>
      </c>
      <c r="BB56" s="69"/>
      <c r="BC56" s="69">
        <v>28</v>
      </c>
      <c r="BD56" s="69">
        <v>4</v>
      </c>
      <c r="BE56" s="69">
        <v>-18</v>
      </c>
      <c r="BF56" s="69"/>
      <c r="BG56" s="78">
        <f t="shared" si="59"/>
        <v>812.25</v>
      </c>
      <c r="BH56" s="44">
        <f t="shared" si="80"/>
        <v>17.20779220779221</v>
      </c>
      <c r="BI56" s="67">
        <f t="shared" si="61"/>
        <v>588.61714285714288</v>
      </c>
      <c r="BJ56" s="68">
        <f t="shared" si="81"/>
        <v>-1.2314427814900806</v>
      </c>
      <c r="BK56" s="68">
        <f t="shared" si="63"/>
        <v>36.585331090235549</v>
      </c>
      <c r="BL56" s="44">
        <f t="shared" si="82"/>
        <v>18.032557436569984</v>
      </c>
      <c r="BO56" s="38">
        <f t="shared" si="65"/>
        <v>31</v>
      </c>
      <c r="BS56" s="38">
        <f t="shared" si="3"/>
        <v>5</v>
      </c>
      <c r="BZ56" s="117">
        <f t="shared" si="66"/>
        <v>0.4445479962721342</v>
      </c>
    </row>
    <row r="57" spans="1:78" ht="15" customHeight="1" x14ac:dyDescent="0.2">
      <c r="A57" s="80"/>
      <c r="B57" s="45">
        <v>11</v>
      </c>
      <c r="C57" s="59" t="str">
        <f t="shared" si="68"/>
        <v>31</v>
      </c>
      <c r="D57" s="60">
        <v>10</v>
      </c>
      <c r="E57" s="61" t="s">
        <v>94</v>
      </c>
      <c r="F57" s="61" t="s">
        <v>17</v>
      </c>
      <c r="G57" s="61" t="s">
        <v>15</v>
      </c>
      <c r="H57" s="62">
        <v>3</v>
      </c>
      <c r="I57" s="62">
        <v>3</v>
      </c>
      <c r="J57" s="62">
        <v>1</v>
      </c>
      <c r="K57" s="62" t="s">
        <v>94</v>
      </c>
      <c r="L57" s="63"/>
      <c r="M57" s="64" t="s">
        <v>2</v>
      </c>
      <c r="N57" s="64" t="s">
        <v>22</v>
      </c>
      <c r="O57" s="64" t="s">
        <v>12</v>
      </c>
      <c r="P57" s="61" t="s">
        <v>4</v>
      </c>
      <c r="Q57" s="61" t="s">
        <v>4</v>
      </c>
      <c r="R57" s="61" t="s">
        <v>4</v>
      </c>
      <c r="S57" s="86"/>
      <c r="T57" s="65">
        <v>831</v>
      </c>
      <c r="U57" s="66"/>
      <c r="V57" s="66">
        <v>48</v>
      </c>
      <c r="W57" s="66">
        <v>5</v>
      </c>
      <c r="X57" s="66">
        <v>-18</v>
      </c>
      <c r="Y57" s="66">
        <v>2.5</v>
      </c>
      <c r="Z57" s="67">
        <f t="shared" si="69"/>
        <v>5</v>
      </c>
      <c r="AA57" s="67">
        <f t="shared" si="70"/>
        <v>-18</v>
      </c>
      <c r="AB57" s="67">
        <f t="shared" si="71"/>
        <v>0</v>
      </c>
      <c r="AC57" s="53"/>
      <c r="AD57" s="66">
        <v>355</v>
      </c>
      <c r="AE57" s="66">
        <v>108</v>
      </c>
      <c r="AF57" s="66">
        <v>43</v>
      </c>
      <c r="AG57" s="67">
        <f t="shared" si="72"/>
        <v>824.86799999999994</v>
      </c>
      <c r="AH57" s="67">
        <f t="shared" si="73"/>
        <v>30.516968831157364</v>
      </c>
      <c r="AI57" s="74"/>
      <c r="AJ57" s="67">
        <f t="shared" si="74"/>
        <v>4</v>
      </c>
      <c r="AK57" s="67">
        <f t="shared" si="75"/>
        <v>-18</v>
      </c>
      <c r="AL57" s="67">
        <f t="shared" si="76"/>
        <v>2</v>
      </c>
      <c r="AM57" s="66">
        <v>358</v>
      </c>
      <c r="AN57" s="66">
        <v>110</v>
      </c>
      <c r="AO57" s="66">
        <v>44</v>
      </c>
      <c r="AP57" s="68">
        <f t="shared" si="77"/>
        <v>0.84507042253521114</v>
      </c>
      <c r="AQ57" s="68">
        <f t="shared" si="78"/>
        <v>1.8518518518518516</v>
      </c>
      <c r="AR57" s="68">
        <f t="shared" si="79"/>
        <v>2.3255813953488373</v>
      </c>
      <c r="AS57" s="74"/>
      <c r="AT57" s="66">
        <f>625-70*24/28+70*24/56</f>
        <v>595</v>
      </c>
      <c r="AU57" s="66"/>
      <c r="AV57" s="66">
        <v>28</v>
      </c>
      <c r="AW57" s="66">
        <v>4</v>
      </c>
      <c r="AX57" s="66">
        <v>-18</v>
      </c>
      <c r="AY57" s="66"/>
      <c r="AZ57" s="74"/>
      <c r="BA57" s="66">
        <v>1148</v>
      </c>
      <c r="BB57" s="69"/>
      <c r="BC57" s="69">
        <v>28</v>
      </c>
      <c r="BD57" s="69">
        <v>4</v>
      </c>
      <c r="BE57" s="69">
        <v>-18</v>
      </c>
      <c r="BF57" s="69"/>
      <c r="BG57" s="78">
        <f t="shared" si="59"/>
        <v>906.0625</v>
      </c>
      <c r="BH57" s="44">
        <f t="shared" si="80"/>
        <v>9.0327918170878458</v>
      </c>
      <c r="BI57" s="67">
        <f t="shared" si="61"/>
        <v>811.77142857142849</v>
      </c>
      <c r="BJ57" s="68">
        <f t="shared" si="81"/>
        <v>-1.5877172382213218</v>
      </c>
      <c r="BK57" s="68">
        <f t="shared" si="63"/>
        <v>33.617689731825195</v>
      </c>
      <c r="BL57" s="44">
        <f t="shared" si="82"/>
        <v>10.160645108049007</v>
      </c>
      <c r="BO57" s="38">
        <f t="shared" si="65"/>
        <v>31</v>
      </c>
      <c r="BS57" s="38">
        <f t="shared" si="3"/>
        <v>5</v>
      </c>
      <c r="BZ57" s="117">
        <f t="shared" si="66"/>
        <v>0.51829268292682928</v>
      </c>
    </row>
    <row r="58" spans="1:78" ht="15" customHeight="1" x14ac:dyDescent="0.2">
      <c r="A58" s="80"/>
      <c r="B58" s="45">
        <v>12</v>
      </c>
      <c r="C58" s="59" t="str">
        <f t="shared" si="68"/>
        <v>21</v>
      </c>
      <c r="D58" s="60">
        <v>10</v>
      </c>
      <c r="E58" s="61" t="s">
        <v>94</v>
      </c>
      <c r="F58" s="61" t="s">
        <v>17</v>
      </c>
      <c r="G58" s="61" t="s">
        <v>15</v>
      </c>
      <c r="H58" s="62">
        <v>3</v>
      </c>
      <c r="I58" s="62">
        <v>3</v>
      </c>
      <c r="J58" s="62">
        <v>1</v>
      </c>
      <c r="K58" s="62" t="s">
        <v>96</v>
      </c>
      <c r="L58" s="63"/>
      <c r="M58" s="64" t="s">
        <v>2</v>
      </c>
      <c r="N58" s="64" t="s">
        <v>22</v>
      </c>
      <c r="O58" s="64" t="s">
        <v>12</v>
      </c>
      <c r="P58" s="61" t="s">
        <v>4</v>
      </c>
      <c r="Q58" s="61" t="s">
        <v>4</v>
      </c>
      <c r="R58" s="61" t="s">
        <v>4</v>
      </c>
      <c r="S58" s="86"/>
      <c r="T58" s="65">
        <v>561</v>
      </c>
      <c r="U58" s="66"/>
      <c r="V58" s="66">
        <v>48</v>
      </c>
      <c r="W58" s="66">
        <v>5</v>
      </c>
      <c r="X58" s="66">
        <v>-18</v>
      </c>
      <c r="Y58" s="66">
        <v>2.7</v>
      </c>
      <c r="Z58" s="67">
        <f t="shared" si="69"/>
        <v>5</v>
      </c>
      <c r="AA58" s="67">
        <f t="shared" si="70"/>
        <v>-18</v>
      </c>
      <c r="AB58" s="67">
        <f t="shared" si="71"/>
        <v>0</v>
      </c>
      <c r="AC58" s="53"/>
      <c r="AD58" s="66">
        <v>355</v>
      </c>
      <c r="AE58" s="66">
        <v>108</v>
      </c>
      <c r="AF58" s="66">
        <v>43</v>
      </c>
      <c r="AG58" s="67">
        <f t="shared" si="72"/>
        <v>824.86799999999994</v>
      </c>
      <c r="AH58" s="67">
        <f t="shared" si="73"/>
        <v>20.601708200095405</v>
      </c>
      <c r="AI58" s="74"/>
      <c r="AJ58" s="67">
        <f t="shared" si="74"/>
        <v>4</v>
      </c>
      <c r="AK58" s="67">
        <f t="shared" si="75"/>
        <v>-18</v>
      </c>
      <c r="AL58" s="67">
        <f t="shared" si="76"/>
        <v>2</v>
      </c>
      <c r="AM58" s="66">
        <v>358</v>
      </c>
      <c r="AN58" s="66">
        <v>110</v>
      </c>
      <c r="AO58" s="66">
        <v>44</v>
      </c>
      <c r="AP58" s="68">
        <f t="shared" si="77"/>
        <v>0.84507042253521114</v>
      </c>
      <c r="AQ58" s="68">
        <f t="shared" si="78"/>
        <v>1.8518518518518516</v>
      </c>
      <c r="AR58" s="68">
        <f t="shared" si="79"/>
        <v>2.3255813953488373</v>
      </c>
      <c r="AS58" s="74"/>
      <c r="AT58" s="66">
        <f>382-70*24/28+70*24/56</f>
        <v>352</v>
      </c>
      <c r="AU58" s="66"/>
      <c r="AV58" s="66">
        <v>28</v>
      </c>
      <c r="AW58" s="66">
        <v>4</v>
      </c>
      <c r="AX58" s="66">
        <v>-18</v>
      </c>
      <c r="AY58" s="66"/>
      <c r="AZ58" s="74"/>
      <c r="BA58" s="66">
        <v>869</v>
      </c>
      <c r="BB58" s="69"/>
      <c r="BC58" s="69">
        <v>28</v>
      </c>
      <c r="BD58" s="69">
        <v>4</v>
      </c>
      <c r="BE58" s="69">
        <v>-18</v>
      </c>
      <c r="BF58" s="69"/>
      <c r="BG58" s="78">
        <f t="shared" si="59"/>
        <v>642.8125</v>
      </c>
      <c r="BH58" s="44">
        <f t="shared" si="80"/>
        <v>14.583333333333334</v>
      </c>
      <c r="BI58" s="67">
        <f t="shared" si="61"/>
        <v>811.77142857142849</v>
      </c>
      <c r="BJ58" s="68">
        <f t="shared" si="81"/>
        <v>-1.5877172382213218</v>
      </c>
      <c r="BK58" s="68">
        <f t="shared" si="63"/>
        <v>23.850309642810384</v>
      </c>
      <c r="BL58" s="44">
        <f t="shared" si="82"/>
        <v>15.76860234677013</v>
      </c>
      <c r="BO58" s="38">
        <f t="shared" si="65"/>
        <v>21</v>
      </c>
      <c r="BS58" s="38">
        <f t="shared" si="3"/>
        <v>5</v>
      </c>
      <c r="BZ58" s="117">
        <f t="shared" si="66"/>
        <v>0.4050632911392405</v>
      </c>
    </row>
    <row r="59" spans="1:78" ht="15" customHeight="1" x14ac:dyDescent="0.2">
      <c r="A59" s="80"/>
      <c r="B59" s="45">
        <v>13</v>
      </c>
      <c r="C59" s="59" t="str">
        <f t="shared" si="68"/>
        <v>37</v>
      </c>
      <c r="D59" s="60">
        <v>7</v>
      </c>
      <c r="E59" s="61" t="s">
        <v>94</v>
      </c>
      <c r="F59" s="61" t="s">
        <v>17</v>
      </c>
      <c r="G59" s="61" t="s">
        <v>15</v>
      </c>
      <c r="H59" s="62">
        <v>2</v>
      </c>
      <c r="I59" s="62">
        <v>2</v>
      </c>
      <c r="J59" s="62">
        <v>1</v>
      </c>
      <c r="K59" s="62" t="s">
        <v>94</v>
      </c>
      <c r="L59" s="63"/>
      <c r="M59" s="64" t="s">
        <v>2</v>
      </c>
      <c r="N59" s="64" t="s">
        <v>22</v>
      </c>
      <c r="O59" s="64"/>
      <c r="P59" s="61" t="s">
        <v>4</v>
      </c>
      <c r="Q59" s="61" t="s">
        <v>4</v>
      </c>
      <c r="R59" s="61"/>
      <c r="S59" s="86"/>
      <c r="T59" s="65">
        <v>743</v>
      </c>
      <c r="U59" s="66"/>
      <c r="V59" s="66">
        <v>48</v>
      </c>
      <c r="W59" s="66">
        <v>5</v>
      </c>
      <c r="X59" s="66">
        <v>-18</v>
      </c>
      <c r="Y59" s="66"/>
      <c r="Z59" s="67">
        <f t="shared" si="69"/>
        <v>5</v>
      </c>
      <c r="AA59" s="67">
        <f t="shared" si="70"/>
        <v>-18</v>
      </c>
      <c r="AB59" s="67" t="str">
        <f t="shared" si="71"/>
        <v/>
      </c>
      <c r="AC59" s="53"/>
      <c r="AD59" s="66">
        <v>233</v>
      </c>
      <c r="AE59" s="66">
        <v>87</v>
      </c>
      <c r="AF59" s="66"/>
      <c r="AG59" s="67">
        <f t="shared" si="72"/>
        <v>548.952</v>
      </c>
      <c r="AH59" s="67">
        <f t="shared" si="73"/>
        <v>37.173643251872974</v>
      </c>
      <c r="AI59" s="74"/>
      <c r="AJ59" s="67">
        <f t="shared" si="74"/>
        <v>4</v>
      </c>
      <c r="AK59" s="67">
        <f t="shared" si="75"/>
        <v>-18</v>
      </c>
      <c r="AL59" s="67" t="str">
        <f t="shared" si="76"/>
        <v/>
      </c>
      <c r="AM59" s="66">
        <v>236</v>
      </c>
      <c r="AN59" s="66">
        <v>89</v>
      </c>
      <c r="AO59" s="66"/>
      <c r="AP59" s="68">
        <f t="shared" si="77"/>
        <v>1.2875536480686696</v>
      </c>
      <c r="AQ59" s="68">
        <f t="shared" si="78"/>
        <v>2.2988505747126435</v>
      </c>
      <c r="AR59" s="68" t="str">
        <f t="shared" si="79"/>
        <v/>
      </c>
      <c r="AS59" s="74"/>
      <c r="AT59" s="66">
        <f>546-70*24/28+70*24/56</f>
        <v>516</v>
      </c>
      <c r="AU59" s="66"/>
      <c r="AV59" s="66">
        <v>28</v>
      </c>
      <c r="AW59" s="66">
        <v>4</v>
      </c>
      <c r="AX59" s="66">
        <v>-18</v>
      </c>
      <c r="AY59" s="66"/>
      <c r="AZ59" s="74"/>
      <c r="BA59" s="66">
        <v>1001</v>
      </c>
      <c r="BB59" s="69"/>
      <c r="BC59" s="69">
        <v>28</v>
      </c>
      <c r="BD59" s="69">
        <v>4</v>
      </c>
      <c r="BE59" s="69">
        <v>-18</v>
      </c>
      <c r="BF59" s="69"/>
      <c r="BG59" s="78">
        <f t="shared" si="59"/>
        <v>788.8125</v>
      </c>
      <c r="BH59" s="44">
        <f t="shared" si="80"/>
        <v>6.1658815612382236</v>
      </c>
      <c r="BI59" s="67">
        <f t="shared" si="61"/>
        <v>545.62285714285713</v>
      </c>
      <c r="BJ59" s="68">
        <f t="shared" si="81"/>
        <v>-0.60645427234856053</v>
      </c>
      <c r="BK59" s="68">
        <f t="shared" si="63"/>
        <v>39.606159213708757</v>
      </c>
      <c r="BL59" s="44">
        <f t="shared" si="82"/>
        <v>6.5436576806692788</v>
      </c>
      <c r="BO59" s="38">
        <f t="shared" si="65"/>
        <v>37</v>
      </c>
      <c r="BS59" s="38">
        <f t="shared" si="3"/>
        <v>5</v>
      </c>
      <c r="BZ59" s="117">
        <f t="shared" si="66"/>
        <v>0.51548451548451546</v>
      </c>
    </row>
    <row r="60" spans="1:78" ht="15" customHeight="1" x14ac:dyDescent="0.2">
      <c r="A60" s="80"/>
      <c r="B60" s="45">
        <v>14</v>
      </c>
      <c r="C60" s="59" t="str">
        <f t="shared" si="68"/>
        <v>32</v>
      </c>
      <c r="D60" s="60">
        <v>7</v>
      </c>
      <c r="E60" s="61" t="s">
        <v>94</v>
      </c>
      <c r="F60" s="61" t="s">
        <v>17</v>
      </c>
      <c r="G60" s="61" t="s">
        <v>15</v>
      </c>
      <c r="H60" s="62">
        <v>2</v>
      </c>
      <c r="I60" s="62">
        <v>2</v>
      </c>
      <c r="J60" s="62">
        <v>1</v>
      </c>
      <c r="K60" s="62" t="s">
        <v>94</v>
      </c>
      <c r="L60" s="63"/>
      <c r="M60" s="64" t="s">
        <v>2</v>
      </c>
      <c r="N60" s="64" t="s">
        <v>22</v>
      </c>
      <c r="O60" s="64"/>
      <c r="P60" s="61" t="s">
        <v>4</v>
      </c>
      <c r="Q60" s="61" t="s">
        <v>4</v>
      </c>
      <c r="R60" s="61"/>
      <c r="S60" s="86"/>
      <c r="T60" s="65">
        <v>631</v>
      </c>
      <c r="U60" s="66"/>
      <c r="V60" s="66">
        <v>48</v>
      </c>
      <c r="W60" s="66">
        <v>5</v>
      </c>
      <c r="X60" s="66">
        <v>-18</v>
      </c>
      <c r="Y60" s="66"/>
      <c r="Z60" s="67">
        <f t="shared" si="69"/>
        <v>5</v>
      </c>
      <c r="AA60" s="67">
        <f t="shared" si="70"/>
        <v>-18</v>
      </c>
      <c r="AB60" s="67" t="str">
        <f t="shared" si="71"/>
        <v/>
      </c>
      <c r="AC60" s="53"/>
      <c r="AD60" s="66">
        <v>216</v>
      </c>
      <c r="AE60" s="66">
        <v>87</v>
      </c>
      <c r="AF60" s="66"/>
      <c r="AG60" s="67">
        <f t="shared" si="72"/>
        <v>528.55199999999991</v>
      </c>
      <c r="AH60" s="67">
        <f t="shared" si="73"/>
        <v>32.271244453840936</v>
      </c>
      <c r="AI60" s="74"/>
      <c r="AJ60" s="67">
        <f t="shared" si="74"/>
        <v>4</v>
      </c>
      <c r="AK60" s="67">
        <f t="shared" si="75"/>
        <v>-18</v>
      </c>
      <c r="AL60" s="67" t="str">
        <f t="shared" si="76"/>
        <v/>
      </c>
      <c r="AM60" s="66">
        <v>218</v>
      </c>
      <c r="AN60" s="66">
        <v>89</v>
      </c>
      <c r="AO60" s="66"/>
      <c r="AP60" s="68">
        <f t="shared" si="77"/>
        <v>0.92592592592592582</v>
      </c>
      <c r="AQ60" s="68">
        <f t="shared" si="78"/>
        <v>2.2988505747126435</v>
      </c>
      <c r="AR60" s="68" t="str">
        <f t="shared" si="79"/>
        <v/>
      </c>
      <c r="AS60" s="74"/>
      <c r="AT60" s="66">
        <f>408-70*24/28+70*24/56</f>
        <v>378</v>
      </c>
      <c r="AU60" s="66"/>
      <c r="AV60" s="66">
        <v>28</v>
      </c>
      <c r="AW60" s="66">
        <v>4</v>
      </c>
      <c r="AX60" s="66">
        <v>-18</v>
      </c>
      <c r="AY60" s="66"/>
      <c r="AZ60" s="74"/>
      <c r="BA60" s="66">
        <v>886</v>
      </c>
      <c r="BB60" s="69"/>
      <c r="BC60" s="69">
        <v>28</v>
      </c>
      <c r="BD60" s="69">
        <v>4</v>
      </c>
      <c r="BE60" s="69">
        <v>-18</v>
      </c>
      <c r="BF60" s="69"/>
      <c r="BG60" s="78">
        <f t="shared" si="59"/>
        <v>663.75</v>
      </c>
      <c r="BH60" s="44">
        <f t="shared" si="80"/>
        <v>5.190174326465927</v>
      </c>
      <c r="BI60" s="67">
        <f t="shared" si="61"/>
        <v>524.02285714285699</v>
      </c>
      <c r="BJ60" s="68">
        <f t="shared" si="81"/>
        <v>-0.85689636159600491</v>
      </c>
      <c r="BK60" s="68">
        <f t="shared" si="63"/>
        <v>34.114394644991059</v>
      </c>
      <c r="BL60" s="44">
        <f t="shared" si="82"/>
        <v>5.7114320266962952</v>
      </c>
      <c r="BO60" s="38">
        <f t="shared" si="65"/>
        <v>32</v>
      </c>
      <c r="BS60" s="38">
        <f t="shared" si="3"/>
        <v>5</v>
      </c>
      <c r="BZ60" s="117">
        <f t="shared" si="66"/>
        <v>0.42663656884875845</v>
      </c>
    </row>
    <row r="61" spans="1:78" ht="15" customHeight="1" x14ac:dyDescent="0.2">
      <c r="A61" s="94"/>
      <c r="B61" s="45">
        <v>15</v>
      </c>
      <c r="C61" s="104" t="str">
        <f t="shared" si="68"/>
        <v>32</v>
      </c>
      <c r="D61" s="95">
        <v>10</v>
      </c>
      <c r="E61" s="96" t="s">
        <v>94</v>
      </c>
      <c r="F61" s="96" t="s">
        <v>17</v>
      </c>
      <c r="G61" s="96" t="s">
        <v>15</v>
      </c>
      <c r="H61" s="97">
        <v>3</v>
      </c>
      <c r="I61" s="97">
        <v>2</v>
      </c>
      <c r="J61" s="97">
        <v>1</v>
      </c>
      <c r="K61" s="97" t="s">
        <v>96</v>
      </c>
      <c r="L61" s="98"/>
      <c r="M61" s="99" t="s">
        <v>2</v>
      </c>
      <c r="N61" s="99" t="s">
        <v>12</v>
      </c>
      <c r="O61" s="99" t="s">
        <v>22</v>
      </c>
      <c r="P61" s="96" t="s">
        <v>7</v>
      </c>
      <c r="Q61" s="96" t="s">
        <v>7</v>
      </c>
      <c r="R61" s="96" t="s">
        <v>4</v>
      </c>
      <c r="S61" s="86"/>
      <c r="T61" s="100">
        <v>708</v>
      </c>
      <c r="U61" s="101"/>
      <c r="V61" s="101" t="s">
        <v>119</v>
      </c>
      <c r="W61" s="101">
        <v>5</v>
      </c>
      <c r="X61" s="101">
        <v>2.9</v>
      </c>
      <c r="Y61" s="101">
        <v>-18</v>
      </c>
      <c r="Z61" s="114">
        <f t="shared" ref="Z61:AB62" si="83">GetReferenceTemperature(M61,"AV2011")</f>
        <v>5</v>
      </c>
      <c r="AA61" s="114">
        <f t="shared" si="83"/>
        <v>0</v>
      </c>
      <c r="AB61" s="114">
        <f t="shared" si="83"/>
        <v>-18</v>
      </c>
      <c r="AC61" s="53"/>
      <c r="AD61" s="101">
        <v>157</v>
      </c>
      <c r="AE61" s="101">
        <v>86</v>
      </c>
      <c r="AF61" s="101">
        <v>89</v>
      </c>
      <c r="AG61" s="114">
        <f>EnergyLabel("AV2011",AD61:AF61,M61:O61,P61:R61,F61,E61,D61,T61,0)</f>
        <v>592.94399999999996</v>
      </c>
      <c r="AH61" s="114">
        <f>EnergyLabel("EI2011",AD61:AF61,M61:O61,P61:R61,F61,E61,D61,T61*365/1000,0)</f>
        <v>31.757950862670906</v>
      </c>
      <c r="AI61" s="74"/>
      <c r="AJ61" s="114">
        <f t="shared" ref="AJ61:AL62" si="84">GetReferenceTemperature(M61,"AV_NG")</f>
        <v>4</v>
      </c>
      <c r="AK61" s="114">
        <f t="shared" si="84"/>
        <v>2</v>
      </c>
      <c r="AL61" s="114">
        <f t="shared" si="84"/>
        <v>-18</v>
      </c>
      <c r="AM61" s="101">
        <v>158</v>
      </c>
      <c r="AN61" s="101">
        <v>87</v>
      </c>
      <c r="AO61" s="101">
        <v>100</v>
      </c>
      <c r="AP61" s="115">
        <f t="shared" ref="AP61:AR62" si="85">IF(AND(ISNUMBER(AM61),ISNUMBER(AD61)),(AM61-AD61)/AD61*100,"")</f>
        <v>0.63694267515923575</v>
      </c>
      <c r="AQ61" s="115">
        <f t="shared" si="85"/>
        <v>1.1627906976744187</v>
      </c>
      <c r="AR61" s="115">
        <f t="shared" si="85"/>
        <v>12.359550561797752</v>
      </c>
      <c r="AS61" s="74"/>
      <c r="AT61" s="101">
        <v>419</v>
      </c>
      <c r="AU61" s="101"/>
      <c r="AV61" s="101">
        <v>80</v>
      </c>
      <c r="AW61" s="101">
        <v>4</v>
      </c>
      <c r="AX61" s="101">
        <v>2</v>
      </c>
      <c r="AY61" s="101">
        <v>-18</v>
      </c>
      <c r="AZ61" s="74"/>
      <c r="BA61" s="101">
        <v>986</v>
      </c>
      <c r="BB61" s="102"/>
      <c r="BC61" s="102">
        <v>40</v>
      </c>
      <c r="BD61" s="102">
        <v>4</v>
      </c>
      <c r="BE61" s="102">
        <v>1.2</v>
      </c>
      <c r="BF61" s="102">
        <v>-18</v>
      </c>
      <c r="BG61" s="78">
        <f>f_Cons*AT61+(1-f_Cons)*BA61</f>
        <v>737.9375</v>
      </c>
      <c r="BH61" s="44">
        <f>IF(AND(ISNUMBER(BG61),ISNUMBER(T61)),(BG61-T61)/T61*100,"not complete")</f>
        <v>4.2284604519774014</v>
      </c>
      <c r="BI61" s="114">
        <f>EnergyLabel("AV_NG",AM61:AO61,M61:O61,P61:R61,F61,E61,D61,T61, f_Cons)</f>
        <v>598.79999999999995</v>
      </c>
      <c r="BJ61" s="115">
        <f>IF(AND(ISNUMBER(BI61),ISNUMBER(AG61)),(BI61-AG61)/AG61*100,"")</f>
        <v>0.98761434469359588</v>
      </c>
      <c r="BK61" s="115">
        <f>EnergyLabel("EI_NG",AM61:AO61,M61:O61,P61:R61,F61,E61,D61,BG61*365/1000,f_Cons)</f>
        <v>32.916760666070616</v>
      </c>
      <c r="BL61" s="44">
        <f>IF(AND(ISNUMBER(BK61),ISNUMBER(AH61)),(BK61-AH61)/AH61*100,"not complete")</f>
        <v>3.648880900441859</v>
      </c>
      <c r="BO61" s="38">
        <f t="shared" si="65"/>
        <v>32</v>
      </c>
      <c r="BS61" s="38"/>
      <c r="BZ61" s="117">
        <f t="shared" si="66"/>
        <v>0.42494929006085191</v>
      </c>
    </row>
    <row r="62" spans="1:78" ht="15" customHeight="1" x14ac:dyDescent="0.2">
      <c r="A62" s="103"/>
      <c r="B62" s="45">
        <v>16</v>
      </c>
      <c r="C62" s="104" t="str">
        <f t="shared" si="68"/>
        <v>31</v>
      </c>
      <c r="D62" s="60">
        <v>7</v>
      </c>
      <c r="E62" s="61" t="s">
        <v>94</v>
      </c>
      <c r="F62" s="61" t="s">
        <v>17</v>
      </c>
      <c r="G62" s="61" t="s">
        <v>15</v>
      </c>
      <c r="H62" s="62">
        <v>2</v>
      </c>
      <c r="I62" s="62">
        <v>2</v>
      </c>
      <c r="J62" s="62">
        <v>1</v>
      </c>
      <c r="K62" s="62" t="s">
        <v>96</v>
      </c>
      <c r="L62" s="63"/>
      <c r="M62" s="64" t="s">
        <v>2</v>
      </c>
      <c r="N62" s="64" t="s">
        <v>22</v>
      </c>
      <c r="O62" s="64"/>
      <c r="P62" s="61" t="s">
        <v>7</v>
      </c>
      <c r="Q62" s="61" t="s">
        <v>4</v>
      </c>
      <c r="R62" s="61"/>
      <c r="S62" s="86"/>
      <c r="T62" s="65">
        <v>654</v>
      </c>
      <c r="U62" s="66"/>
      <c r="V62" s="66" t="s">
        <v>119</v>
      </c>
      <c r="W62" s="66">
        <v>5</v>
      </c>
      <c r="X62" s="66">
        <v>-18</v>
      </c>
      <c r="Y62" s="66"/>
      <c r="Z62" s="114">
        <f t="shared" si="83"/>
        <v>5</v>
      </c>
      <c r="AA62" s="114">
        <f t="shared" si="83"/>
        <v>-18</v>
      </c>
      <c r="AB62" s="114" t="str">
        <f t="shared" si="83"/>
        <v/>
      </c>
      <c r="AC62" s="53"/>
      <c r="AD62" s="66">
        <v>276</v>
      </c>
      <c r="AE62" s="66">
        <v>88</v>
      </c>
      <c r="AF62" s="66"/>
      <c r="AG62" s="114">
        <f>EnergyLabel("AV2011",AD62:AF62,M62:O62,P62:R62,F62,E62,D62,T62,0)</f>
        <v>603.64799999999991</v>
      </c>
      <c r="AH62" s="114">
        <f>EnergyLabel("EI2011",AD62:AF62,M62:O62,P62:R62,F62,E62,D62,T62*365/1000,0)</f>
        <v>30.919602846347427</v>
      </c>
      <c r="AI62" s="74"/>
      <c r="AJ62" s="114">
        <f t="shared" si="84"/>
        <v>4</v>
      </c>
      <c r="AK62" s="114">
        <f t="shared" si="84"/>
        <v>-18</v>
      </c>
      <c r="AL62" s="114" t="str">
        <f t="shared" si="84"/>
        <v/>
      </c>
      <c r="AM62" s="66">
        <v>277</v>
      </c>
      <c r="AN62" s="66">
        <v>100</v>
      </c>
      <c r="AO62" s="66"/>
      <c r="AP62" s="115">
        <f t="shared" si="85"/>
        <v>0.36231884057971014</v>
      </c>
      <c r="AQ62" s="115">
        <f t="shared" si="85"/>
        <v>13.636363636363635</v>
      </c>
      <c r="AR62" s="115" t="str">
        <f t="shared" si="85"/>
        <v/>
      </c>
      <c r="AS62" s="74"/>
      <c r="AT62" s="66">
        <v>396</v>
      </c>
      <c r="AU62" s="66"/>
      <c r="AV62" s="66">
        <v>80</v>
      </c>
      <c r="AW62" s="66">
        <v>4</v>
      </c>
      <c r="AX62" s="66">
        <v>-18</v>
      </c>
      <c r="AY62" s="66"/>
      <c r="AZ62" s="74"/>
      <c r="BA62" s="66">
        <v>948.2</v>
      </c>
      <c r="BB62" s="69"/>
      <c r="BC62" s="69">
        <v>40</v>
      </c>
      <c r="BD62" s="69">
        <v>4</v>
      </c>
      <c r="BE62" s="69">
        <v>-18</v>
      </c>
      <c r="BF62" s="69"/>
      <c r="BG62" s="78">
        <f>f_Cons*AT62+(1-f_Cons)*BA62</f>
        <v>706.61250000000007</v>
      </c>
      <c r="BH62" s="44">
        <f>IF(AND(ISNUMBER(BG62),ISNUMBER(T62)),(BG62-T62)/T62*100,"not complete")</f>
        <v>8.0447247706422136</v>
      </c>
      <c r="BI62" s="114">
        <f>EnergyLabel("AV_NG",AM62:AO62,M62:O62,P62:R62,F62,E62,D62,T62, f_Cons)</f>
        <v>627.25714285714275</v>
      </c>
      <c r="BJ62" s="115">
        <f>IF(AND(ISNUMBER(BI62),ISNUMBER(AG62)),(BI62-AG62)/AG62*100,"")</f>
        <v>3.9110777898945819</v>
      </c>
      <c r="BK62" s="115">
        <f>EnergyLabel("EI_NG",AM62:AO62,M62:O62,P62:R62,F62,E62,D62,BG62*365/1000,f_Cons)</f>
        <v>32.631639727685005</v>
      </c>
      <c r="BL62" s="44">
        <f>IF(AND(ISNUMBER(BK62),ISNUMBER(AH62)),(BK62-AH62)/AH62*100,"not complete")</f>
        <v>5.5370597411791254</v>
      </c>
      <c r="BO62" s="38">
        <f t="shared" si="65"/>
        <v>31</v>
      </c>
      <c r="BS62" s="38"/>
      <c r="BZ62" s="117">
        <f t="shared" si="66"/>
        <v>0.41763341067285381</v>
      </c>
    </row>
    <row r="63" spans="1:78" s="38" customFormat="1" ht="15" customHeight="1" x14ac:dyDescent="0.2">
      <c r="A63" s="81"/>
      <c r="B63" s="38" t="s">
        <v>100</v>
      </c>
      <c r="C63" s="39"/>
      <c r="D63" s="26"/>
      <c r="E63" s="27"/>
      <c r="F63" s="27"/>
      <c r="G63" s="27"/>
      <c r="H63" s="28"/>
      <c r="I63" s="28"/>
      <c r="J63" s="28"/>
      <c r="K63" s="28"/>
      <c r="L63" s="29"/>
      <c r="M63" s="30"/>
      <c r="N63" s="30"/>
      <c r="O63" s="30"/>
      <c r="P63" s="27"/>
      <c r="Q63" s="27"/>
      <c r="R63" s="27"/>
      <c r="S63" s="86"/>
      <c r="T63" s="31"/>
      <c r="U63" s="32"/>
      <c r="V63" s="32"/>
      <c r="W63" s="32"/>
      <c r="X63" s="32"/>
      <c r="Y63" s="32"/>
      <c r="Z63" s="33"/>
      <c r="AA63" s="33"/>
      <c r="AB63" s="33"/>
      <c r="AC63" s="55"/>
      <c r="AD63" s="32"/>
      <c r="AE63" s="32"/>
      <c r="AF63" s="32"/>
      <c r="AG63" s="33"/>
      <c r="AH63" s="33"/>
      <c r="AI63" s="74"/>
      <c r="AJ63" s="33"/>
      <c r="AK63" s="33"/>
      <c r="AL63" s="33"/>
      <c r="AM63" s="32"/>
      <c r="AN63" s="32"/>
      <c r="AO63" s="32"/>
      <c r="AP63" s="13">
        <v>0</v>
      </c>
      <c r="AQ63" s="13"/>
      <c r="AR63" s="13"/>
      <c r="AS63" s="73"/>
      <c r="AT63" s="13"/>
      <c r="AU63" s="13"/>
      <c r="AV63" s="13"/>
      <c r="AW63" s="13"/>
      <c r="AX63" s="13"/>
      <c r="AY63" s="13"/>
      <c r="AZ63" s="73"/>
      <c r="BA63" s="13"/>
      <c r="BB63" s="13"/>
      <c r="BC63" s="13"/>
      <c r="BD63" s="13"/>
      <c r="BE63" s="13"/>
      <c r="BF63" s="13"/>
      <c r="BG63" s="79"/>
      <c r="BH63" s="13">
        <v>0</v>
      </c>
      <c r="BI63" s="33"/>
      <c r="BJ63" s="13">
        <v>0</v>
      </c>
      <c r="BK63" s="13">
        <v>0</v>
      </c>
      <c r="BL63" s="14">
        <v>0</v>
      </c>
      <c r="BP63" s="38">
        <f>$BP$1</f>
        <v>100</v>
      </c>
      <c r="BQ63" s="38">
        <f>-$BP$1</f>
        <v>-100</v>
      </c>
      <c r="BS63" s="38">
        <f t="shared" si="3"/>
        <v>5</v>
      </c>
    </row>
    <row r="64" spans="1:78" ht="15" customHeight="1" x14ac:dyDescent="0.2">
      <c r="A64" s="56"/>
      <c r="B64" s="34">
        <v>1</v>
      </c>
      <c r="C64" s="37" t="str">
        <f t="shared" si="4"/>
        <v>38</v>
      </c>
      <c r="D64" s="18">
        <v>8</v>
      </c>
      <c r="E64" s="19" t="s">
        <v>95</v>
      </c>
      <c r="F64" s="19" t="s">
        <v>17</v>
      </c>
      <c r="G64" s="19" t="s">
        <v>15</v>
      </c>
      <c r="H64" s="20">
        <v>1</v>
      </c>
      <c r="I64" s="20">
        <v>1</v>
      </c>
      <c r="J64" s="20">
        <v>1</v>
      </c>
      <c r="K64" s="20" t="s">
        <v>94</v>
      </c>
      <c r="L64" s="21"/>
      <c r="M64" s="22" t="s">
        <v>22</v>
      </c>
      <c r="N64" s="22"/>
      <c r="O64" s="22"/>
      <c r="P64" s="19" t="s">
        <v>7</v>
      </c>
      <c r="Q64" s="19"/>
      <c r="R64" s="19"/>
      <c r="S64" s="86"/>
      <c r="T64" s="23">
        <v>481</v>
      </c>
      <c r="U64" s="24">
        <v>38.4</v>
      </c>
      <c r="V64" s="24"/>
      <c r="W64" s="24"/>
      <c r="X64" s="24"/>
      <c r="Y64" s="24"/>
      <c r="Z64" s="25">
        <f t="shared" ref="Z64:AB66" si="86">GetReferenceTemperature(M64,"AV2011")</f>
        <v>-18</v>
      </c>
      <c r="AA64" s="25" t="str">
        <f t="shared" si="86"/>
        <v/>
      </c>
      <c r="AB64" s="25" t="str">
        <f t="shared" si="86"/>
        <v/>
      </c>
      <c r="AC64" s="53"/>
      <c r="AD64" s="24">
        <v>91</v>
      </c>
      <c r="AE64" s="24"/>
      <c r="AF64" s="24"/>
      <c r="AG64" s="25">
        <f>EnergyLabel("AV2011",AD64:AF64,M64:O64,P64:R64,F64,E64,D64,T64,0)</f>
        <v>281.73599999999999</v>
      </c>
      <c r="AH64" s="25">
        <f>EnergyLabel("EI2011",AD64:AF64,M64:O64,P64:R64,F64,E64,D64,T64*365/1000,0)</f>
        <v>37.605838055691827</v>
      </c>
      <c r="AI64" s="74"/>
      <c r="AJ64" s="25">
        <f t="shared" ref="AJ64:AL68" si="87">GetReferenceTemperature(M64,"AV_NG")</f>
        <v>-18</v>
      </c>
      <c r="AK64" s="25" t="str">
        <f t="shared" si="87"/>
        <v/>
      </c>
      <c r="AL64" s="25" t="str">
        <f t="shared" si="87"/>
        <v/>
      </c>
      <c r="AM64" s="24">
        <v>105</v>
      </c>
      <c r="AN64" s="24"/>
      <c r="AO64" s="24"/>
      <c r="AP64" s="42">
        <f t="shared" ref="AP64:AR66" si="88">IF(AND(ISNUMBER(AM64),ISNUMBER(AD64)),(AM64-AD64)/AD64*100,"")</f>
        <v>15.384615384615385</v>
      </c>
      <c r="AQ64" s="42" t="str">
        <f t="shared" si="88"/>
        <v/>
      </c>
      <c r="AR64" s="42" t="str">
        <f t="shared" si="88"/>
        <v/>
      </c>
      <c r="AS64" s="74"/>
      <c r="AT64" s="24">
        <v>320</v>
      </c>
      <c r="AU64" s="24">
        <v>21</v>
      </c>
      <c r="AV64" s="24"/>
      <c r="AW64" s="24">
        <v>-18</v>
      </c>
      <c r="AX64" s="24"/>
      <c r="AY64" s="24"/>
      <c r="AZ64" s="74"/>
      <c r="BA64" s="24">
        <v>580</v>
      </c>
      <c r="BB64" s="43">
        <v>39.6</v>
      </c>
      <c r="BC64" s="43"/>
      <c r="BD64" s="43">
        <v>-18</v>
      </c>
      <c r="BE64" s="43"/>
      <c r="BF64" s="43"/>
      <c r="BG64" s="78">
        <f>f_Cons*AT64+(1-f_Cons)*BA64</f>
        <v>466.25</v>
      </c>
      <c r="BH64" s="44">
        <f>IF(AND(ISNUMBER(BG64),ISNUMBER(T64)),(BG64-T64)/T64*100,"not complete")</f>
        <v>-3.0665280665280665</v>
      </c>
      <c r="BI64" s="25">
        <f>EnergyLabel("AV_NG",AM64:AO64,M64:O64,P64:R64,F64,E64,D64,T64, f_Cons)</f>
        <v>309.59999999999991</v>
      </c>
      <c r="BJ64" s="42">
        <f>IF(AND(ISNUMBER(BI64),ISNUMBER(AG64)),(BI64-AG64)/AG64*100,"")</f>
        <v>9.8901098901098621</v>
      </c>
      <c r="BK64" s="42">
        <f>EnergyLabel("EI_NG",AM64:AO64,M64:O64,P64:R64,F64,E64,D64,BG64*365/1000,f_Cons)</f>
        <v>35.316516088009656</v>
      </c>
      <c r="BL64" s="44">
        <f>IF(AND(ISNUMBER(BK64),ISNUMBER(AH64)),(BK64-AH64)/AH64*100,"not complete")</f>
        <v>-6.0876770364533064</v>
      </c>
      <c r="BO64" s="38">
        <f>C64+0</f>
        <v>38</v>
      </c>
      <c r="BS64" s="38">
        <f t="shared" si="3"/>
        <v>5</v>
      </c>
    </row>
    <row r="65" spans="1:71" ht="15" customHeight="1" x14ac:dyDescent="0.2">
      <c r="A65" s="56"/>
      <c r="B65" s="34">
        <v>2</v>
      </c>
      <c r="C65" s="37" t="str">
        <f t="shared" si="4"/>
        <v>44</v>
      </c>
      <c r="D65" s="18">
        <v>8</v>
      </c>
      <c r="E65" s="19" t="s">
        <v>94</v>
      </c>
      <c r="F65" s="19" t="s">
        <v>17</v>
      </c>
      <c r="G65" s="19" t="s">
        <v>14</v>
      </c>
      <c r="H65" s="20">
        <v>1</v>
      </c>
      <c r="I65" s="20">
        <v>1</v>
      </c>
      <c r="J65" s="20">
        <v>1</v>
      </c>
      <c r="K65" s="20" t="s">
        <v>94</v>
      </c>
      <c r="L65" s="21"/>
      <c r="M65" s="22" t="s">
        <v>22</v>
      </c>
      <c r="N65" s="22"/>
      <c r="O65" s="22"/>
      <c r="P65" s="19"/>
      <c r="Q65" s="19"/>
      <c r="R65" s="19"/>
      <c r="S65" s="86"/>
      <c r="T65" s="23">
        <v>506</v>
      </c>
      <c r="U65" s="24">
        <v>34</v>
      </c>
      <c r="V65" s="24"/>
      <c r="W65" s="24"/>
      <c r="X65" s="24"/>
      <c r="Y65" s="24"/>
      <c r="Z65" s="25">
        <f t="shared" si="86"/>
        <v>-18</v>
      </c>
      <c r="AA65" s="25" t="str">
        <f t="shared" si="86"/>
        <v/>
      </c>
      <c r="AB65" s="25" t="str">
        <f t="shared" si="86"/>
        <v/>
      </c>
      <c r="AC65" s="53"/>
      <c r="AD65" s="24">
        <v>78</v>
      </c>
      <c r="AE65" s="24"/>
      <c r="AF65" s="24"/>
      <c r="AG65" s="25">
        <f>EnergyLabel("AV2011",AD65:AF65,M65:O65,P65:R65,F65,E65,D65,T65,0)</f>
        <v>201.23999999999998</v>
      </c>
      <c r="AH65" s="25">
        <f>EnergyLabel("EI2011",AD65:AF65,M65:O65,P65:R65,F65,E65,D65,T65*365/1000,0)</f>
        <v>43.613648018472972</v>
      </c>
      <c r="AI65" s="74"/>
      <c r="AJ65" s="25">
        <f t="shared" si="87"/>
        <v>-18</v>
      </c>
      <c r="AK65" s="25" t="str">
        <f t="shared" si="87"/>
        <v/>
      </c>
      <c r="AL65" s="25" t="str">
        <f t="shared" si="87"/>
        <v/>
      </c>
      <c r="AM65" s="70">
        <v>78</v>
      </c>
      <c r="AN65" s="24"/>
      <c r="AO65" s="24"/>
      <c r="AP65" s="42">
        <f t="shared" si="88"/>
        <v>0</v>
      </c>
      <c r="AQ65" s="42" t="str">
        <f t="shared" si="88"/>
        <v/>
      </c>
      <c r="AR65" s="42" t="str">
        <f t="shared" si="88"/>
        <v/>
      </c>
      <c r="AS65" s="74"/>
      <c r="AT65" s="24">
        <v>322</v>
      </c>
      <c r="AU65" s="24">
        <v>21</v>
      </c>
      <c r="AV65" s="24"/>
      <c r="AW65" s="24">
        <v>-18</v>
      </c>
      <c r="AX65" s="24"/>
      <c r="AY65" s="24"/>
      <c r="AZ65" s="74"/>
      <c r="BA65" s="24">
        <v>561</v>
      </c>
      <c r="BB65" s="43">
        <v>34</v>
      </c>
      <c r="BC65" s="43"/>
      <c r="BD65" s="43">
        <v>-18</v>
      </c>
      <c r="BE65" s="43"/>
      <c r="BF65" s="43"/>
      <c r="BG65" s="78">
        <f>f_Cons*AT65+(1-f_Cons)*BA65</f>
        <v>456.4375</v>
      </c>
      <c r="BH65" s="44">
        <f>IF(AND(ISNUMBER(BG65),ISNUMBER(T65)),(BG65-T65)/T65*100,"not complete")</f>
        <v>-9.7949604743083007</v>
      </c>
      <c r="BI65" s="25">
        <f>EnergyLabel("AV_NG",AM65:AO65,M65:O65,P65:R65,F65,E65,D65,T65, f_Cons)</f>
        <v>191.65714285714282</v>
      </c>
      <c r="BJ65" s="42">
        <f>IF(AND(ISNUMBER(BI65),ISNUMBER(AG65)),(BI65-AG65)/AG65*100,"")</f>
        <v>-4.7619047619047734</v>
      </c>
      <c r="BK65" s="42">
        <f>EnergyLabel("EI_NG",AM65:AO65,M65:O65,P65:R65,F65,E65,D65,BG65*365/1000,f_Cons)</f>
        <v>39.827495343090845</v>
      </c>
      <c r="BL65" s="44">
        <f>IF(AND(ISNUMBER(BK65),ISNUMBER(AH65)),(BK65-AH65)/AH65*100,"not complete")</f>
        <v>-8.6811189785786009</v>
      </c>
      <c r="BO65" s="38">
        <f>C65+0</f>
        <v>44</v>
      </c>
      <c r="BS65" s="38">
        <f t="shared" si="3"/>
        <v>5</v>
      </c>
    </row>
    <row r="66" spans="1:71" ht="15" customHeight="1" x14ac:dyDescent="0.2">
      <c r="A66" s="56"/>
      <c r="B66" s="34">
        <v>3</v>
      </c>
      <c r="C66" s="37" t="str">
        <f t="shared" si="4"/>
        <v>46</v>
      </c>
      <c r="D66" s="18">
        <v>8</v>
      </c>
      <c r="E66" s="19" t="s">
        <v>94</v>
      </c>
      <c r="F66" s="19" t="s">
        <v>17</v>
      </c>
      <c r="G66" s="19" t="s">
        <v>15</v>
      </c>
      <c r="H66" s="20">
        <v>1</v>
      </c>
      <c r="I66" s="20">
        <v>1</v>
      </c>
      <c r="J66" s="20">
        <v>1</v>
      </c>
      <c r="K66" s="20" t="s">
        <v>94</v>
      </c>
      <c r="L66" s="21" t="s">
        <v>77</v>
      </c>
      <c r="M66" s="22" t="s">
        <v>22</v>
      </c>
      <c r="N66" s="22"/>
      <c r="O66" s="22"/>
      <c r="P66" s="19" t="s">
        <v>7</v>
      </c>
      <c r="Q66" s="19"/>
      <c r="R66" s="19"/>
      <c r="S66" s="86"/>
      <c r="T66" s="23">
        <v>668</v>
      </c>
      <c r="U66" s="24"/>
      <c r="V66" s="24"/>
      <c r="W66" s="24">
        <v>-18</v>
      </c>
      <c r="X66" s="24"/>
      <c r="Y66" s="24"/>
      <c r="Z66" s="25">
        <f t="shared" si="86"/>
        <v>-18</v>
      </c>
      <c r="AA66" s="25" t="str">
        <f t="shared" si="86"/>
        <v/>
      </c>
      <c r="AB66" s="25" t="str">
        <f t="shared" si="86"/>
        <v/>
      </c>
      <c r="AC66" s="53"/>
      <c r="AD66" s="24">
        <v>158</v>
      </c>
      <c r="AE66" s="24"/>
      <c r="AF66" s="24"/>
      <c r="AG66" s="25">
        <f>EnergyLabel("AV2011",AD66:AF66,M66:O66,P66:R66,F66,E66,D66,T66,0)</f>
        <v>407.64</v>
      </c>
      <c r="AH66" s="25">
        <f>EnergyLabel("EI2011",AD66:AF66,M66:O66,P66:R66,F66,E66,D66,T66*365/1000,0)</f>
        <v>45.597869949982595</v>
      </c>
      <c r="AI66" s="74"/>
      <c r="AJ66" s="25">
        <f t="shared" si="87"/>
        <v>-18</v>
      </c>
      <c r="AK66" s="25" t="str">
        <f t="shared" si="87"/>
        <v/>
      </c>
      <c r="AL66" s="25" t="str">
        <f t="shared" si="87"/>
        <v/>
      </c>
      <c r="AM66" s="70">
        <v>159</v>
      </c>
      <c r="AN66" s="24"/>
      <c r="AO66" s="24"/>
      <c r="AP66" s="42">
        <f t="shared" si="88"/>
        <v>0.63291139240506333</v>
      </c>
      <c r="AQ66" s="42" t="str">
        <f t="shared" si="88"/>
        <v/>
      </c>
      <c r="AR66" s="42" t="str">
        <f t="shared" si="88"/>
        <v/>
      </c>
      <c r="AS66" s="74"/>
      <c r="AT66" s="24">
        <v>373</v>
      </c>
      <c r="AU66" s="24"/>
      <c r="AV66" s="24"/>
      <c r="AW66" s="24">
        <v>-18</v>
      </c>
      <c r="AX66" s="24"/>
      <c r="AY66" s="24"/>
      <c r="AZ66" s="74"/>
      <c r="BA66" s="24">
        <v>763</v>
      </c>
      <c r="BB66" s="43"/>
      <c r="BC66" s="43"/>
      <c r="BD66" s="43">
        <v>-18</v>
      </c>
      <c r="BE66" s="43"/>
      <c r="BF66" s="43"/>
      <c r="BG66" s="78">
        <f>f_Cons*AT66+(1-f_Cons)*BA66</f>
        <v>592.375</v>
      </c>
      <c r="BH66" s="44">
        <f>IF(AND(ISNUMBER(BG66),ISNUMBER(T66)),(BG66-T66)/T66*100,"not complete")</f>
        <v>-11.321107784431138</v>
      </c>
      <c r="BI66" s="25">
        <f>EnergyLabel("AV_NG",AM66:AO66,M66:O66,P66:R66,F66,E66,D66,T66, f_Cons)</f>
        <v>390.68571428571425</v>
      </c>
      <c r="BJ66" s="42">
        <f>IF(AND(ISNUMBER(BI66),ISNUMBER(AG66)),(BI66-AG66)/AG66*100,"")</f>
        <v>-4.1591320072332776</v>
      </c>
      <c r="BK66" s="42">
        <f>EnergyLabel("EI_NG",AM66:AO66,M66:O66,P66:R66,F66,E66,D66,BG66*365/1000,f_Cons)</f>
        <v>41.138749487232758</v>
      </c>
      <c r="BL66" s="44">
        <f>IF(AND(ISNUMBER(BK66),ISNUMBER(AH66)),(BK66-AH66)/AH66*100,"not complete")</f>
        <v>-9.7792297483219137</v>
      </c>
      <c r="BN66" s="34" t="str">
        <f>B63</f>
        <v>Cat 8-Static</v>
      </c>
      <c r="BO66" s="38">
        <f>C66+0</f>
        <v>46</v>
      </c>
      <c r="BR66" s="82">
        <f>AVERAGE(BH64:BH68)</f>
        <v>-0.91834578496964314</v>
      </c>
      <c r="BS66" s="38">
        <f t="shared" si="3"/>
        <v>5</v>
      </c>
    </row>
    <row r="67" spans="1:71" ht="15" customHeight="1" x14ac:dyDescent="0.2">
      <c r="A67" s="58"/>
      <c r="B67" s="34">
        <v>4</v>
      </c>
      <c r="C67" s="59" t="str">
        <f>TEXT(AH67,"00")</f>
        <v>32</v>
      </c>
      <c r="D67" s="60">
        <v>8</v>
      </c>
      <c r="E67" s="61" t="s">
        <v>94</v>
      </c>
      <c r="F67" s="61" t="s">
        <v>17</v>
      </c>
      <c r="G67" s="61" t="s">
        <v>15</v>
      </c>
      <c r="H67" s="62">
        <v>1</v>
      </c>
      <c r="I67" s="62">
        <v>1</v>
      </c>
      <c r="J67" s="62">
        <v>1</v>
      </c>
      <c r="K67" s="62" t="s">
        <v>94</v>
      </c>
      <c r="L67" s="63"/>
      <c r="M67" s="64" t="s">
        <v>22</v>
      </c>
      <c r="N67" s="64"/>
      <c r="O67" s="64"/>
      <c r="P67" s="61" t="s">
        <v>7</v>
      </c>
      <c r="Q67" s="61"/>
      <c r="R67" s="61"/>
      <c r="S67" s="86"/>
      <c r="T67" s="65">
        <v>540</v>
      </c>
      <c r="U67" s="66"/>
      <c r="V67" s="66"/>
      <c r="W67" s="66">
        <v>-18</v>
      </c>
      <c r="X67" s="66"/>
      <c r="Y67" s="66"/>
      <c r="Z67" s="67"/>
      <c r="AA67" s="67"/>
      <c r="AB67" s="67"/>
      <c r="AC67" s="66">
        <v>33</v>
      </c>
      <c r="AD67" s="66">
        <v>220</v>
      </c>
      <c r="AE67" s="66"/>
      <c r="AF67" s="66"/>
      <c r="AG67" s="67">
        <f>EnergyLabel("AV2011",AD67:AF67,M67:O67,P67:R67,F67,E67,D67,T67,0)</f>
        <v>567.6</v>
      </c>
      <c r="AH67" s="67">
        <f>EnergyLabel("EI2011",AD67:AF67,M67:O67,P67:R67,F67,E67,D67,T67*365/1000,0)</f>
        <v>31.742381345335847</v>
      </c>
      <c r="AI67" s="74"/>
      <c r="AJ67" s="67">
        <f t="shared" si="87"/>
        <v>-18</v>
      </c>
      <c r="AK67" s="67" t="str">
        <f t="shared" si="87"/>
        <v/>
      </c>
      <c r="AL67" s="67" t="str">
        <f t="shared" si="87"/>
        <v/>
      </c>
      <c r="AM67" s="70">
        <v>224</v>
      </c>
      <c r="AN67" s="66"/>
      <c r="AO67" s="66"/>
      <c r="AP67" s="68">
        <f t="shared" ref="AP67:AR68" si="89">IF(AND(ISNUMBER(AM67),ISNUMBER(AD67)),(AM67-AD67)/AD67*100,"")</f>
        <v>1.8181818181818181</v>
      </c>
      <c r="AQ67" s="68" t="str">
        <f t="shared" si="89"/>
        <v/>
      </c>
      <c r="AR67" s="68" t="str">
        <f t="shared" si="89"/>
        <v/>
      </c>
      <c r="AS67" s="74"/>
      <c r="AT67" s="66">
        <v>402</v>
      </c>
      <c r="AU67" s="66"/>
      <c r="AV67" s="66"/>
      <c r="AW67" s="66">
        <v>-22</v>
      </c>
      <c r="AX67" s="66"/>
      <c r="AY67" s="66"/>
      <c r="AZ67" s="74"/>
      <c r="BA67" s="66">
        <v>743</v>
      </c>
      <c r="BB67" s="69"/>
      <c r="BC67" s="69"/>
      <c r="BD67" s="69">
        <v>-20.7</v>
      </c>
      <c r="BE67" s="69"/>
      <c r="BF67" s="69"/>
      <c r="BG67" s="78">
        <f>f_Cons*AT67+(1-f_Cons)*BA67</f>
        <v>593.8125</v>
      </c>
      <c r="BH67" s="44">
        <f>IF(AND(ISNUMBER(BG67),ISNUMBER(T67)),(BG67-T67)/T67*100,"not complete")</f>
        <v>9.9652777777777786</v>
      </c>
      <c r="BI67" s="67">
        <f>EnergyLabel("AV_NG",AM67:AO67,M67:O67,P67:R67,F67,E67,D67,T67, f_Cons)</f>
        <v>550.4</v>
      </c>
      <c r="BJ67" s="68">
        <f>IF(AND(ISNUMBER(BI67),ISNUMBER(AG67)),(BI67-AG67)/AG67*100,"")</f>
        <v>-3.0303030303030378</v>
      </c>
      <c r="BK67" s="68">
        <f>EnergyLabel("EI_NG",AM67:AO67,M67:O67,P67:R67,F67,E67,D67,BG67*365/1000,f_Cons)</f>
        <v>35.434649668053915</v>
      </c>
      <c r="BL67" s="44">
        <f>IF(AND(ISNUMBER(BK67),ISNUMBER(AH67)),(BK67-AH67)/AH67*100,"not complete")</f>
        <v>11.631982750596629</v>
      </c>
      <c r="BO67" s="38">
        <f>C67+0</f>
        <v>32</v>
      </c>
      <c r="BS67" s="38">
        <f t="shared" si="3"/>
        <v>5</v>
      </c>
    </row>
    <row r="68" spans="1:71" ht="15" customHeight="1" x14ac:dyDescent="0.2">
      <c r="A68" s="58"/>
      <c r="B68" s="34">
        <v>5</v>
      </c>
      <c r="C68" s="59" t="str">
        <f>TEXT(AH68,"00")</f>
        <v>24</v>
      </c>
      <c r="D68" s="60">
        <v>8</v>
      </c>
      <c r="E68" s="61" t="s">
        <v>94</v>
      </c>
      <c r="F68" s="61" t="s">
        <v>17</v>
      </c>
      <c r="G68" s="61" t="s">
        <v>15</v>
      </c>
      <c r="H68" s="62">
        <v>1</v>
      </c>
      <c r="I68" s="62">
        <v>1</v>
      </c>
      <c r="J68" s="62">
        <v>1</v>
      </c>
      <c r="K68" s="62" t="s">
        <v>96</v>
      </c>
      <c r="L68" s="63"/>
      <c r="M68" s="64" t="s">
        <v>22</v>
      </c>
      <c r="N68" s="64"/>
      <c r="O68" s="64"/>
      <c r="P68" s="61" t="s">
        <v>7</v>
      </c>
      <c r="Q68" s="61"/>
      <c r="R68" s="61"/>
      <c r="S68" s="86"/>
      <c r="T68" s="65">
        <v>424</v>
      </c>
      <c r="U68" s="66"/>
      <c r="V68" s="66"/>
      <c r="W68" s="66">
        <v>-18</v>
      </c>
      <c r="X68" s="66"/>
      <c r="Y68" s="66"/>
      <c r="Z68" s="67"/>
      <c r="AA68" s="67"/>
      <c r="AB68" s="67"/>
      <c r="AC68" s="66">
        <v>72</v>
      </c>
      <c r="AD68" s="66">
        <v>237</v>
      </c>
      <c r="AE68" s="66"/>
      <c r="AF68" s="66"/>
      <c r="AG68" s="67">
        <f>EnergyLabel("AV2011",AD68:AF68,M68:O68,P68:R68,F68,E68,D68,T68,0)</f>
        <v>611.45999999999992</v>
      </c>
      <c r="AH68" s="67">
        <f>EnergyLabel("EI2011",AD68:AF68,M68:O68,P68:R68,F68,E68,D68,T68*365/1000,0)</f>
        <v>24.009546478656215</v>
      </c>
      <c r="AI68" s="74"/>
      <c r="AJ68" s="67">
        <f t="shared" si="87"/>
        <v>-18</v>
      </c>
      <c r="AK68" s="67" t="str">
        <f t="shared" si="87"/>
        <v/>
      </c>
      <c r="AL68" s="67" t="str">
        <f t="shared" si="87"/>
        <v/>
      </c>
      <c r="AM68" s="70">
        <v>241</v>
      </c>
      <c r="AN68" s="66"/>
      <c r="AO68" s="66"/>
      <c r="AP68" s="68">
        <f t="shared" si="89"/>
        <v>1.6877637130801686</v>
      </c>
      <c r="AQ68" s="68" t="str">
        <f t="shared" si="89"/>
        <v/>
      </c>
      <c r="AR68" s="68" t="str">
        <f t="shared" si="89"/>
        <v/>
      </c>
      <c r="AS68" s="74"/>
      <c r="AT68" s="66">
        <v>282</v>
      </c>
      <c r="AU68" s="66"/>
      <c r="AV68" s="66"/>
      <c r="AW68" s="66">
        <v>-20.100000000000001</v>
      </c>
      <c r="AX68" s="66"/>
      <c r="AY68" s="66"/>
      <c r="AZ68" s="74"/>
      <c r="BA68" s="66">
        <v>607</v>
      </c>
      <c r="BB68" s="69"/>
      <c r="BC68" s="69"/>
      <c r="BD68" s="69">
        <v>-19.8</v>
      </c>
      <c r="BE68" s="69"/>
      <c r="BF68" s="69"/>
      <c r="BG68" s="78">
        <f>f_Cons*AT68+(1-f_Cons)*BA68</f>
        <v>464.8125</v>
      </c>
      <c r="BH68" s="44">
        <f>IF(AND(ISNUMBER(BG68),ISNUMBER(T68)),(BG68-T68)/T68*100,"not complete")</f>
        <v>9.6255896226415096</v>
      </c>
      <c r="BI68" s="67">
        <f>EnergyLabel("AV_NG",AM68:AO68,M68:O68,P68:R68,F68,E68,D68,T68, f_Cons)</f>
        <v>592.17142857142846</v>
      </c>
      <c r="BJ68" s="68">
        <f>IF(AND(ISNUMBER(BI68),ISNUMBER(AG68)),(BI68-AG68)/AG68*100,"")</f>
        <v>-3.1545107494474638</v>
      </c>
      <c r="BK68" s="68">
        <f>EnergyLabel("EI_NG",AM68:AO68,M68:O68,P68:R68,F68,E68,D68,BG68*365/1000,f_Cons)</f>
        <v>26.752098062317916</v>
      </c>
      <c r="BL68" s="44">
        <f>IF(AND(ISNUMBER(BK68),ISNUMBER(AH68)),(BK68-AH68)/AH68*100,"not complete")</f>
        <v>11.422754636784784</v>
      </c>
      <c r="BO68" s="38">
        <f>C68+0</f>
        <v>24</v>
      </c>
      <c r="BS68" s="38">
        <f t="shared" si="3"/>
        <v>5</v>
      </c>
    </row>
    <row r="69" spans="1:71" s="38" customFormat="1" ht="15" customHeight="1" x14ac:dyDescent="0.2">
      <c r="A69" s="81"/>
      <c r="B69" s="38" t="s">
        <v>91</v>
      </c>
      <c r="C69" s="39"/>
      <c r="D69" s="26"/>
      <c r="E69" s="27"/>
      <c r="F69" s="27"/>
      <c r="G69" s="27"/>
      <c r="H69" s="28"/>
      <c r="I69" s="28"/>
      <c r="J69" s="28"/>
      <c r="K69" s="28"/>
      <c r="L69" s="29"/>
      <c r="M69" s="30"/>
      <c r="N69" s="30"/>
      <c r="O69" s="30"/>
      <c r="P69" s="27"/>
      <c r="Q69" s="27"/>
      <c r="R69" s="27"/>
      <c r="S69" s="86"/>
      <c r="T69" s="31"/>
      <c r="U69" s="32"/>
      <c r="V69" s="32"/>
      <c r="W69" s="32"/>
      <c r="X69" s="32"/>
      <c r="Y69" s="32"/>
      <c r="Z69" s="33"/>
      <c r="AA69" s="33"/>
      <c r="AB69" s="33"/>
      <c r="AC69" s="55"/>
      <c r="AD69" s="32"/>
      <c r="AE69" s="32"/>
      <c r="AF69" s="32"/>
      <c r="AG69" s="33"/>
      <c r="AH69" s="33"/>
      <c r="AI69" s="74"/>
      <c r="AJ69" s="33"/>
      <c r="AK69" s="33"/>
      <c r="AL69" s="33"/>
      <c r="AM69" s="32"/>
      <c r="AN69" s="32"/>
      <c r="AO69" s="32"/>
      <c r="AP69" s="13">
        <v>0</v>
      </c>
      <c r="AQ69" s="13"/>
      <c r="AR69" s="13"/>
      <c r="AS69" s="73"/>
      <c r="AT69" s="13"/>
      <c r="AU69" s="13"/>
      <c r="AV69" s="13"/>
      <c r="AW69" s="13"/>
      <c r="AX69" s="13"/>
      <c r="AY69" s="13"/>
      <c r="AZ69" s="73"/>
      <c r="BA69" s="13"/>
      <c r="BB69" s="13"/>
      <c r="BC69" s="13"/>
      <c r="BD69" s="13"/>
      <c r="BE69" s="13"/>
      <c r="BF69" s="13"/>
      <c r="BG69" s="79"/>
      <c r="BH69" s="13">
        <v>0</v>
      </c>
      <c r="BI69" s="33"/>
      <c r="BJ69" s="13">
        <v>0</v>
      </c>
      <c r="BK69" s="13">
        <v>0</v>
      </c>
      <c r="BL69" s="14">
        <v>0</v>
      </c>
      <c r="BP69" s="38">
        <f>$BP$1</f>
        <v>100</v>
      </c>
      <c r="BQ69" s="38">
        <f>-$BP$1</f>
        <v>-100</v>
      </c>
      <c r="BS69" s="38">
        <f t="shared" si="3"/>
        <v>5</v>
      </c>
    </row>
    <row r="70" spans="1:71" ht="15" customHeight="1" x14ac:dyDescent="0.2">
      <c r="A70" s="80"/>
      <c r="B70" s="34">
        <v>1</v>
      </c>
      <c r="C70" s="37" t="str">
        <f>TEXT(AH70,"00")</f>
        <v>21</v>
      </c>
      <c r="D70" s="18">
        <v>8</v>
      </c>
      <c r="E70" s="19" t="s">
        <v>94</v>
      </c>
      <c r="F70" s="19" t="s">
        <v>17</v>
      </c>
      <c r="G70" s="19" t="s">
        <v>15</v>
      </c>
      <c r="H70" s="20">
        <v>1</v>
      </c>
      <c r="I70" s="20">
        <v>1</v>
      </c>
      <c r="J70" s="20">
        <v>1</v>
      </c>
      <c r="K70" s="20" t="s">
        <v>96</v>
      </c>
      <c r="L70" s="21"/>
      <c r="M70" s="22" t="s">
        <v>22</v>
      </c>
      <c r="N70" s="22"/>
      <c r="O70" s="22"/>
      <c r="P70" s="19" t="s">
        <v>4</v>
      </c>
      <c r="Q70" s="19"/>
      <c r="R70" s="19"/>
      <c r="S70" s="86"/>
      <c r="T70" s="23">
        <v>534</v>
      </c>
      <c r="U70" s="24">
        <v>61.6</v>
      </c>
      <c r="V70" s="24">
        <v>72</v>
      </c>
      <c r="W70" s="24">
        <v>-18</v>
      </c>
      <c r="X70" s="24"/>
      <c r="Y70" s="24"/>
      <c r="Z70" s="25">
        <f t="shared" ref="Z70:AB72" si="90">GetReferenceTemperature(M70,"AV2011")</f>
        <v>-18</v>
      </c>
      <c r="AA70" s="25" t="str">
        <f t="shared" si="90"/>
        <v/>
      </c>
      <c r="AB70" s="25" t="str">
        <f t="shared" si="90"/>
        <v/>
      </c>
      <c r="AC70" s="53"/>
      <c r="AD70" s="24">
        <v>360</v>
      </c>
      <c r="AE70" s="24"/>
      <c r="AF70" s="24"/>
      <c r="AG70" s="25">
        <f>EnergyLabel("AV2011",AD70:AF70,M70:O70,P70:R70,F70,E70,D70,T70,0)</f>
        <v>1114.56</v>
      </c>
      <c r="AH70" s="25">
        <f>EnergyLabel("EI2011",AD70:AF70,M70:O70,P70:R70,F70,E70,D70,T70*365/1000,0)</f>
        <v>21.284243487814287</v>
      </c>
      <c r="AI70" s="74"/>
      <c r="AJ70" s="25">
        <f t="shared" ref="AJ70:AL72" si="91">GetReferenceTemperature(M70,"AV_NG")</f>
        <v>-18</v>
      </c>
      <c r="AK70" s="25" t="str">
        <f t="shared" si="91"/>
        <v/>
      </c>
      <c r="AL70" s="25" t="str">
        <f t="shared" si="91"/>
        <v/>
      </c>
      <c r="AM70" s="24">
        <v>360</v>
      </c>
      <c r="AN70" s="24"/>
      <c r="AO70" s="24"/>
      <c r="AP70" s="42">
        <f t="shared" ref="AP70:AR72" si="92">IF(AND(ISNUMBER(AM70),ISNUMBER(AD70)),(AM70-AD70)/AD70*100,"")</f>
        <v>0</v>
      </c>
      <c r="AQ70" s="42" t="str">
        <f t="shared" si="92"/>
        <v/>
      </c>
      <c r="AR70" s="42" t="str">
        <f t="shared" si="92"/>
        <v/>
      </c>
      <c r="AS70" s="74"/>
      <c r="AT70" s="24">
        <f>400-70*24/16.7+70*24/50.6</f>
        <v>332.60277863245841</v>
      </c>
      <c r="AU70" s="24">
        <v>48</v>
      </c>
      <c r="AV70" s="24">
        <v>16.7</v>
      </c>
      <c r="AW70" s="24">
        <v>-18</v>
      </c>
      <c r="AX70" s="24"/>
      <c r="AY70" s="24"/>
      <c r="AZ70" s="74"/>
      <c r="BA70" s="24">
        <v>723</v>
      </c>
      <c r="BB70" s="43">
        <v>68.400000000000006</v>
      </c>
      <c r="BC70" s="43">
        <v>25.3</v>
      </c>
      <c r="BD70" s="43">
        <v>-18</v>
      </c>
      <c r="BE70" s="43"/>
      <c r="BF70" s="43"/>
      <c r="BG70" s="78">
        <f t="shared" ref="BG70:BG79" si="93">f_Cons*AT70+(1-f_Cons)*BA70</f>
        <v>552.20121565170052</v>
      </c>
      <c r="BH70" s="44">
        <f>IF(AND(ISNUMBER(BG70),ISNUMBER(T70)),(BG70-T70)/T70*100,"not complete")</f>
        <v>3.4084673505057159</v>
      </c>
      <c r="BI70" s="25">
        <f t="shared" ref="BI70:BI79" si="94">EnergyLabel("AV_NG",AM70:AO70,M70:O70,P70:R70,F70,E70,D70,T70, f_Cons)</f>
        <v>1061.4857142857143</v>
      </c>
      <c r="BJ70" s="42">
        <f>IF(AND(ISNUMBER(BI70),ISNUMBER(AG70)),(BI70-AG70)/AG70*100,"")</f>
        <v>-4.7619047619047592</v>
      </c>
      <c r="BK70" s="42">
        <f t="shared" ref="BK70:BK79" si="95">EnergyLabel("EI_NG",AM70:AO70,M70:O70,P70:R70,F70,E70,D70,BG70*365/1000,f_Cons)</f>
        <v>22.719442473265875</v>
      </c>
      <c r="BL70" s="44">
        <f>IF(AND(ISNUMBER(BK70),ISNUMBER(AH70)),(BK70-AH70)/AH70*100,"not complete")</f>
        <v>6.7430114970883164</v>
      </c>
      <c r="BO70" s="38">
        <f>C70+0</f>
        <v>21</v>
      </c>
      <c r="BS70" s="38">
        <f t="shared" si="3"/>
        <v>5</v>
      </c>
    </row>
    <row r="71" spans="1:71" ht="15" customHeight="1" x14ac:dyDescent="0.2">
      <c r="A71" s="80"/>
      <c r="B71" s="34">
        <v>2</v>
      </c>
      <c r="C71" s="37" t="str">
        <f>TEXT(AH71,"00")</f>
        <v>22</v>
      </c>
      <c r="D71" s="18">
        <v>8</v>
      </c>
      <c r="E71" s="19" t="s">
        <v>94</v>
      </c>
      <c r="F71" s="19" t="s">
        <v>17</v>
      </c>
      <c r="G71" s="19" t="s">
        <v>15</v>
      </c>
      <c r="H71" s="20">
        <v>1</v>
      </c>
      <c r="I71" s="20">
        <v>1</v>
      </c>
      <c r="J71" s="20">
        <v>1</v>
      </c>
      <c r="K71" s="20" t="s">
        <v>96</v>
      </c>
      <c r="L71" s="21"/>
      <c r="M71" s="22" t="s">
        <v>22</v>
      </c>
      <c r="N71" s="22"/>
      <c r="O71" s="22"/>
      <c r="P71" s="19" t="s">
        <v>4</v>
      </c>
      <c r="Q71" s="19"/>
      <c r="R71" s="19"/>
      <c r="S71" s="86"/>
      <c r="T71" s="23">
        <v>473</v>
      </c>
      <c r="U71" s="24">
        <v>55</v>
      </c>
      <c r="V71" s="24">
        <v>72</v>
      </c>
      <c r="W71" s="24">
        <v>-18</v>
      </c>
      <c r="X71" s="24"/>
      <c r="Y71" s="24"/>
      <c r="Z71" s="25">
        <f t="shared" si="90"/>
        <v>-18</v>
      </c>
      <c r="AA71" s="25" t="str">
        <f t="shared" si="90"/>
        <v/>
      </c>
      <c r="AB71" s="25" t="str">
        <f t="shared" si="90"/>
        <v/>
      </c>
      <c r="AC71" s="53"/>
      <c r="AD71" s="24">
        <v>286</v>
      </c>
      <c r="AE71" s="24"/>
      <c r="AF71" s="24"/>
      <c r="AG71" s="25">
        <f>EnergyLabel("AV2011",AD71:AF71,M71:O71,P71:R71,F71,E71,D71,T71,0)</f>
        <v>885.45600000000002</v>
      </c>
      <c r="AH71" s="25">
        <f>EnergyLabel("EI2011",AD71:AF71,M71:O71,P71:R71,F71,E71,D71,T71*365/1000,0)</f>
        <v>21.791435785618791</v>
      </c>
      <c r="AI71" s="74"/>
      <c r="AJ71" s="25">
        <f t="shared" si="91"/>
        <v>-18</v>
      </c>
      <c r="AK71" s="25" t="str">
        <f t="shared" si="91"/>
        <v/>
      </c>
      <c r="AL71" s="25" t="str">
        <f t="shared" si="91"/>
        <v/>
      </c>
      <c r="AM71" s="24">
        <v>286</v>
      </c>
      <c r="AN71" s="24"/>
      <c r="AO71" s="24"/>
      <c r="AP71" s="42">
        <f t="shared" si="92"/>
        <v>0</v>
      </c>
      <c r="AQ71" s="42" t="str">
        <f t="shared" si="92"/>
        <v/>
      </c>
      <c r="AR71" s="42" t="str">
        <f t="shared" si="92"/>
        <v/>
      </c>
      <c r="AS71" s="74"/>
      <c r="AT71" s="24">
        <f>373-70*24/16.7+70*24/50.6</f>
        <v>305.60277863245841</v>
      </c>
      <c r="AU71" s="24">
        <v>35</v>
      </c>
      <c r="AV71" s="24">
        <v>16.7</v>
      </c>
      <c r="AW71" s="24">
        <v>-18</v>
      </c>
      <c r="AX71" s="24"/>
      <c r="AY71" s="24"/>
      <c r="AZ71" s="74"/>
      <c r="BA71" s="24">
        <v>626</v>
      </c>
      <c r="BB71" s="43">
        <v>45</v>
      </c>
      <c r="BC71" s="43">
        <v>25.3</v>
      </c>
      <c r="BD71" s="43">
        <v>-18</v>
      </c>
      <c r="BE71" s="43"/>
      <c r="BF71" s="43"/>
      <c r="BG71" s="78">
        <f t="shared" si="93"/>
        <v>485.82621565170052</v>
      </c>
      <c r="BH71" s="44">
        <f>IF(AND(ISNUMBER(BG71),ISNUMBER(T71)),(BG71-T71)/T71*100,"not complete")</f>
        <v>2.7116734993024361</v>
      </c>
      <c r="BI71" s="25">
        <f t="shared" si="94"/>
        <v>843.29142857142858</v>
      </c>
      <c r="BJ71" s="42">
        <f>IF(AND(ISNUMBER(BI71),ISNUMBER(AG71)),(BI71-AG71)/AG71*100,"")</f>
        <v>-4.7619047619047628</v>
      </c>
      <c r="BK71" s="42">
        <f t="shared" si="95"/>
        <v>23.043367840560183</v>
      </c>
      <c r="BL71" s="44">
        <f>IF(AND(ISNUMBER(BK71),ISNUMBER(AH71)),(BK71-AH71)/AH71*100,"not complete")</f>
        <v>5.7450645623249921</v>
      </c>
      <c r="BO71" s="38">
        <f>C71+0</f>
        <v>22</v>
      </c>
      <c r="BS71" s="38">
        <f t="shared" si="3"/>
        <v>5</v>
      </c>
    </row>
    <row r="72" spans="1:71" ht="15" customHeight="1" x14ac:dyDescent="0.2">
      <c r="A72" s="80"/>
      <c r="B72" s="34">
        <v>3</v>
      </c>
      <c r="C72" s="37" t="str">
        <f>TEXT(AH72,"00")</f>
        <v>29</v>
      </c>
      <c r="D72" s="18">
        <v>8</v>
      </c>
      <c r="E72" s="19" t="s">
        <v>94</v>
      </c>
      <c r="F72" s="19" t="s">
        <v>17</v>
      </c>
      <c r="G72" s="19" t="s">
        <v>15</v>
      </c>
      <c r="H72" s="20">
        <v>1</v>
      </c>
      <c r="I72" s="20">
        <v>1</v>
      </c>
      <c r="J72" s="20">
        <v>1</v>
      </c>
      <c r="K72" s="20" t="s">
        <v>94</v>
      </c>
      <c r="L72" s="21"/>
      <c r="M72" s="22" t="s">
        <v>22</v>
      </c>
      <c r="N72" s="22"/>
      <c r="O72" s="22"/>
      <c r="P72" s="19" t="s">
        <v>4</v>
      </c>
      <c r="Q72" s="19"/>
      <c r="R72" s="19"/>
      <c r="S72" s="86"/>
      <c r="T72" s="23">
        <v>719</v>
      </c>
      <c r="U72" s="24">
        <v>40</v>
      </c>
      <c r="V72" s="24">
        <v>72</v>
      </c>
      <c r="W72" s="24">
        <v>-18</v>
      </c>
      <c r="X72" s="24"/>
      <c r="Y72" s="24"/>
      <c r="Z72" s="25">
        <f t="shared" si="90"/>
        <v>-18</v>
      </c>
      <c r="AA72" s="25" t="str">
        <f t="shared" si="90"/>
        <v/>
      </c>
      <c r="AB72" s="25" t="str">
        <f t="shared" si="90"/>
        <v/>
      </c>
      <c r="AC72" s="53"/>
      <c r="AD72" s="24">
        <v>360</v>
      </c>
      <c r="AE72" s="24"/>
      <c r="AF72" s="24"/>
      <c r="AG72" s="25">
        <f>EnergyLabel("AV2011",AD72:AF72,M72:O72,P72:R72,F72,E72,D72,T72,0)</f>
        <v>1114.56</v>
      </c>
      <c r="AH72" s="25">
        <f>EnergyLabel("EI2011",AD72:AF72,M72:O72,P72:R72,F72,E72,D72,T72*365/1000,0)</f>
        <v>28.657998254191895</v>
      </c>
      <c r="AI72" s="74"/>
      <c r="AJ72" s="25">
        <f t="shared" si="91"/>
        <v>-18</v>
      </c>
      <c r="AK72" s="25" t="str">
        <f t="shared" si="91"/>
        <v/>
      </c>
      <c r="AL72" s="25" t="str">
        <f t="shared" si="91"/>
        <v/>
      </c>
      <c r="AM72" s="24">
        <v>360</v>
      </c>
      <c r="AN72" s="24"/>
      <c r="AO72" s="24"/>
      <c r="AP72" s="42">
        <f t="shared" si="92"/>
        <v>0</v>
      </c>
      <c r="AQ72" s="42" t="str">
        <f t="shared" si="92"/>
        <v/>
      </c>
      <c r="AR72" s="42" t="str">
        <f t="shared" si="92"/>
        <v/>
      </c>
      <c r="AS72" s="74"/>
      <c r="AT72" s="24">
        <f>630-70*24/16.7+70*24/50.6</f>
        <v>562.60277863245847</v>
      </c>
      <c r="AU72" s="24">
        <v>28</v>
      </c>
      <c r="AV72" s="24">
        <v>16.7</v>
      </c>
      <c r="AW72" s="24">
        <v>-18</v>
      </c>
      <c r="AX72" s="24"/>
      <c r="AY72" s="24"/>
      <c r="AZ72" s="74"/>
      <c r="BA72" s="24">
        <v>989</v>
      </c>
      <c r="BB72" s="43">
        <v>48</v>
      </c>
      <c r="BC72" s="43">
        <v>25.3</v>
      </c>
      <c r="BD72" s="43">
        <v>-18</v>
      </c>
      <c r="BE72" s="43"/>
      <c r="BF72" s="43"/>
      <c r="BG72" s="78">
        <f t="shared" si="93"/>
        <v>802.45121565170052</v>
      </c>
      <c r="BH72" s="44">
        <f>IF(AND(ISNUMBER(BG72),ISNUMBER(T72)),(BG72-T72)/T72*100,"not complete")</f>
        <v>11.606566850027889</v>
      </c>
      <c r="BI72" s="25">
        <f t="shared" si="94"/>
        <v>1061.4857142857143</v>
      </c>
      <c r="BJ72" s="42">
        <f>IF(AND(ISNUMBER(BI72),ISNUMBER(AG72)),(BI72-AG72)/AG72*100,"")</f>
        <v>-4.7619047619047592</v>
      </c>
      <c r="BK72" s="42">
        <f t="shared" si="95"/>
        <v>33.015581485246841</v>
      </c>
      <c r="BL72" s="44">
        <f>IF(AND(ISNUMBER(BK72),ISNUMBER(AH72)),(BK72-AH72)/AH72*100,"not complete")</f>
        <v>15.205469664712359</v>
      </c>
      <c r="BO72" s="38">
        <f t="shared" ref="BO72:BO83" si="96">C72+0</f>
        <v>29</v>
      </c>
      <c r="BS72" s="38">
        <f t="shared" ref="BS72:BS83" si="97">$BS$1</f>
        <v>5</v>
      </c>
    </row>
    <row r="73" spans="1:71" ht="15" customHeight="1" x14ac:dyDescent="0.2">
      <c r="A73" s="80"/>
      <c r="B73" s="34">
        <v>4</v>
      </c>
      <c r="C73" s="37" t="str">
        <f t="shared" si="4"/>
        <v>47</v>
      </c>
      <c r="D73" s="18">
        <v>8</v>
      </c>
      <c r="E73" s="19" t="s">
        <v>94</v>
      </c>
      <c r="F73" s="19" t="s">
        <v>17</v>
      </c>
      <c r="G73" s="19" t="s">
        <v>15</v>
      </c>
      <c r="H73" s="20">
        <v>1</v>
      </c>
      <c r="I73" s="20">
        <v>1</v>
      </c>
      <c r="J73" s="20">
        <v>1</v>
      </c>
      <c r="K73" s="20" t="s">
        <v>94</v>
      </c>
      <c r="L73" s="21" t="s">
        <v>84</v>
      </c>
      <c r="M73" s="22" t="s">
        <v>22</v>
      </c>
      <c r="N73" s="22"/>
      <c r="O73" s="22"/>
      <c r="P73" s="19" t="s">
        <v>4</v>
      </c>
      <c r="Q73" s="19"/>
      <c r="R73" s="19"/>
      <c r="S73" s="86"/>
      <c r="T73" s="23">
        <v>815</v>
      </c>
      <c r="U73" s="24"/>
      <c r="V73" s="24">
        <v>72</v>
      </c>
      <c r="W73" s="24">
        <v>-18</v>
      </c>
      <c r="X73" s="24"/>
      <c r="Y73" s="24"/>
      <c r="Z73" s="25">
        <f>GetReferenceTemperature(M73,"AV2011")</f>
        <v>-18</v>
      </c>
      <c r="AA73" s="25" t="str">
        <f>GetReferenceTemperature(N73,"AV2011")</f>
        <v/>
      </c>
      <c r="AB73" s="25" t="str">
        <f>GetReferenceTemperature(O73,"AV2011")</f>
        <v/>
      </c>
      <c r="AC73" s="53"/>
      <c r="AD73" s="24">
        <v>188</v>
      </c>
      <c r="AE73" s="24"/>
      <c r="AF73" s="24"/>
      <c r="AG73" s="25">
        <f>EnergyLabel("AV2011",AD73:AF73,M73:O73,P73:R73,F73,E73,D73,T73,0)</f>
        <v>582.04799999999989</v>
      </c>
      <c r="AH73" s="25">
        <f>EnergyLabel("EI2011",AD73:AF73,M73:O73,P73:R73,F73,E73,D73,T73*365/1000,0)</f>
        <v>47.314093395836586</v>
      </c>
      <c r="AI73" s="74"/>
      <c r="AJ73" s="25">
        <f>GetReferenceTemperature(M73,"AV_NG")</f>
        <v>-18</v>
      </c>
      <c r="AK73" s="25" t="str">
        <f>GetReferenceTemperature(N73,"AV_NG")</f>
        <v/>
      </c>
      <c r="AL73" s="25" t="str">
        <f>GetReferenceTemperature(O73,"AV_NG")</f>
        <v/>
      </c>
      <c r="AM73" s="70">
        <v>189</v>
      </c>
      <c r="AN73" s="70"/>
      <c r="AO73" s="24"/>
      <c r="AP73" s="42">
        <f>IF(AND(ISNUMBER(AM73),ISNUMBER(AD73)),(AM73-AD73)/AD73*100,"")</f>
        <v>0.53191489361702127</v>
      </c>
      <c r="AQ73" s="42" t="str">
        <f>IF(AND(ISNUMBER(AN73),ISNUMBER(AE73)),(AN73-AE73)/AE73*100,"")</f>
        <v/>
      </c>
      <c r="AR73" s="42" t="str">
        <f>IF(AND(ISNUMBER(AO73),ISNUMBER(AF73)),(AO73-AF73)/AF73*100,"")</f>
        <v/>
      </c>
      <c r="AS73" s="74"/>
      <c r="AT73" s="24">
        <v>512</v>
      </c>
      <c r="AU73" s="24"/>
      <c r="AV73" s="24">
        <v>80</v>
      </c>
      <c r="AW73" s="24">
        <v>-18</v>
      </c>
      <c r="AX73" s="24"/>
      <c r="AY73" s="24"/>
      <c r="AZ73" s="74"/>
      <c r="BA73" s="24">
        <v>1004</v>
      </c>
      <c r="BB73" s="43"/>
      <c r="BC73" s="43">
        <v>40</v>
      </c>
      <c r="BD73" s="43">
        <v>-18</v>
      </c>
      <c r="BE73" s="43"/>
      <c r="BF73" s="43"/>
      <c r="BG73" s="78">
        <f t="shared" si="93"/>
        <v>788.75</v>
      </c>
      <c r="BH73" s="44">
        <f>IF(AND(ISNUMBER(BG73),ISNUMBER(T73)),(BG73-T73)/T73*100,"not complete")</f>
        <v>-3.2208588957055215</v>
      </c>
      <c r="BI73" s="25">
        <f t="shared" si="94"/>
        <v>557.27999999999986</v>
      </c>
      <c r="BJ73" s="42">
        <f>IF(AND(ISNUMBER(BI73),ISNUMBER(AG73)),(BI73-AG73)/AG73*100,"")</f>
        <v>-4.2553191489361764</v>
      </c>
      <c r="BK73" s="42">
        <f t="shared" si="95"/>
        <v>46.783547473055087</v>
      </c>
      <c r="BL73" s="44">
        <f>IF(AND(ISNUMBER(BK73),ISNUMBER(AH73)),(BK73-AH73)/AH73*100,"not complete")</f>
        <v>-1.1213274622909393</v>
      </c>
      <c r="BO73" s="38">
        <f t="shared" si="96"/>
        <v>47</v>
      </c>
      <c r="BS73" s="38">
        <f t="shared" si="97"/>
        <v>5</v>
      </c>
    </row>
    <row r="74" spans="1:71" ht="15" customHeight="1" x14ac:dyDescent="0.2">
      <c r="A74" s="56"/>
      <c r="B74" s="34">
        <v>5</v>
      </c>
      <c r="C74" s="59" t="str">
        <f t="shared" ref="C74:C80" si="98">TEXT(AH74,"00")</f>
        <v>35</v>
      </c>
      <c r="D74" s="60">
        <v>8</v>
      </c>
      <c r="E74" s="61" t="s">
        <v>94</v>
      </c>
      <c r="F74" s="61" t="s">
        <v>17</v>
      </c>
      <c r="G74" s="61" t="s">
        <v>15</v>
      </c>
      <c r="H74" s="62">
        <v>1</v>
      </c>
      <c r="I74" s="62">
        <v>1</v>
      </c>
      <c r="J74" s="62">
        <v>1</v>
      </c>
      <c r="K74" s="62" t="s">
        <v>94</v>
      </c>
      <c r="L74" s="63"/>
      <c r="M74" s="64" t="s">
        <v>22</v>
      </c>
      <c r="N74" s="64"/>
      <c r="O74" s="64"/>
      <c r="P74" s="61" t="s">
        <v>4</v>
      </c>
      <c r="Q74" s="61"/>
      <c r="R74" s="61"/>
      <c r="S74" s="86"/>
      <c r="T74" s="65">
        <v>651</v>
      </c>
      <c r="U74" s="66"/>
      <c r="V74" s="66">
        <v>72</v>
      </c>
      <c r="W74" s="66">
        <v>-18</v>
      </c>
      <c r="X74" s="66"/>
      <c r="Y74" s="66"/>
      <c r="Z74" s="67">
        <f t="shared" ref="Z74:Z79" si="99">GetReferenceTemperature(M74,"AV2011")</f>
        <v>-18</v>
      </c>
      <c r="AA74" s="67" t="str">
        <f t="shared" ref="AA74:AA79" si="100">GetReferenceTemperature(N74,"AV2011")</f>
        <v/>
      </c>
      <c r="AB74" s="67" t="str">
        <f t="shared" ref="AB74:AB79" si="101">GetReferenceTemperature(O74,"AV2011")</f>
        <v/>
      </c>
      <c r="AC74" s="53">
        <v>33</v>
      </c>
      <c r="AD74" s="66">
        <v>220</v>
      </c>
      <c r="AE74" s="66"/>
      <c r="AF74" s="66"/>
      <c r="AG74" s="67">
        <f t="shared" ref="AG74:AG79" si="102">EnergyLabel("AV2011",AD74:AF74,M74:O74,P74:R74,F74,E74,D74,T74,0)</f>
        <v>681.12</v>
      </c>
      <c r="AH74" s="67">
        <f t="shared" ref="AH74:AH79" si="103">EnergyLabel("EI2011",AD74:AF74,M74:O74,P74:R74,F74,E74,D74,T74*365/1000,0)</f>
        <v>34.834591873426824</v>
      </c>
      <c r="AI74" s="74"/>
      <c r="AJ74" s="67">
        <f t="shared" ref="AJ74:AJ79" si="104">GetReferenceTemperature(M74,"AV_NG")</f>
        <v>-18</v>
      </c>
      <c r="AK74" s="67"/>
      <c r="AL74" s="67"/>
      <c r="AM74" s="70">
        <v>222</v>
      </c>
      <c r="AN74" s="70"/>
      <c r="AO74" s="66"/>
      <c r="AP74" s="115">
        <f t="shared" ref="AP74:AP80" si="105">IF(AND(ISNUMBER(AM74),ISNUMBER(AD74)),(AM74-AD74)/AD74*100,"")</f>
        <v>0.90909090909090906</v>
      </c>
      <c r="AQ74" s="115" t="str">
        <f t="shared" ref="AQ74:AQ80" si="106">IF(AND(ISNUMBER(AN74),ISNUMBER(AE74)),(AN74-AE74)/AE74*100,"")</f>
        <v/>
      </c>
      <c r="AR74" s="115" t="str">
        <f t="shared" ref="AR74:AR80" si="107">IF(AND(ISNUMBER(AO74),ISNUMBER(AF74)),(AO74-AF74)/AF74*100,"")</f>
        <v/>
      </c>
      <c r="AS74" s="74"/>
      <c r="AT74" s="66">
        <f>516-70*24/36+70*24/72</f>
        <v>492.66666666666663</v>
      </c>
      <c r="AU74" s="66"/>
      <c r="AV74" s="66">
        <v>36</v>
      </c>
      <c r="AW74" s="66">
        <v>-19.600000000000001</v>
      </c>
      <c r="AX74" s="66"/>
      <c r="AY74" s="66"/>
      <c r="AZ74" s="74"/>
      <c r="BA74" s="66">
        <v>802</v>
      </c>
      <c r="BB74" s="69"/>
      <c r="BC74" s="69">
        <v>36</v>
      </c>
      <c r="BD74" s="69">
        <v>-19.600000000000001</v>
      </c>
      <c r="BE74" s="69"/>
      <c r="BF74" s="69"/>
      <c r="BG74" s="78">
        <f t="shared" si="93"/>
        <v>666.66666666666663</v>
      </c>
      <c r="BH74" s="44">
        <f t="shared" ref="BH74:BH79" si="108">IF(AND(ISNUMBER(BG74),ISNUMBER(T74)),(BG74-T74)/T74*100,"not complete")</f>
        <v>2.4065540194572392</v>
      </c>
      <c r="BI74" s="67">
        <f t="shared" si="94"/>
        <v>654.58285714285705</v>
      </c>
      <c r="BJ74" s="68">
        <f t="shared" ref="BJ74:BJ79" si="109">IF(AND(ISNUMBER(BI74),ISNUMBER(AG74)),(BI74-AG74)/AG74*100,"")</f>
        <v>-3.8961038961039098</v>
      </c>
      <c r="BK74" s="68">
        <f t="shared" si="95"/>
        <v>36.436955322422932</v>
      </c>
      <c r="BL74" s="44">
        <f t="shared" ref="BL74:BL79" si="110">IF(AND(ISNUMBER(BK74),ISNUMBER(AH74)),(BK74-AH74)/AH74*100,"not complete")</f>
        <v>4.5999202597761828</v>
      </c>
      <c r="BO74" s="38">
        <f t="shared" si="96"/>
        <v>35</v>
      </c>
      <c r="BS74" s="38">
        <f t="shared" si="97"/>
        <v>5</v>
      </c>
    </row>
    <row r="75" spans="1:71" ht="15" customHeight="1" x14ac:dyDescent="0.2">
      <c r="A75" s="56"/>
      <c r="B75" s="34">
        <v>6</v>
      </c>
      <c r="C75" s="59" t="str">
        <f t="shared" si="98"/>
        <v>22</v>
      </c>
      <c r="D75" s="60">
        <v>8</v>
      </c>
      <c r="E75" s="61" t="s">
        <v>94</v>
      </c>
      <c r="F75" s="61" t="s">
        <v>17</v>
      </c>
      <c r="G75" s="61" t="s">
        <v>15</v>
      </c>
      <c r="H75" s="62">
        <v>1</v>
      </c>
      <c r="I75" s="62">
        <v>1</v>
      </c>
      <c r="J75" s="62">
        <v>1</v>
      </c>
      <c r="K75" s="62" t="s">
        <v>96</v>
      </c>
      <c r="L75" s="63"/>
      <c r="M75" s="64" t="s">
        <v>22</v>
      </c>
      <c r="N75" s="64"/>
      <c r="O75" s="64"/>
      <c r="P75" s="61" t="s">
        <v>4</v>
      </c>
      <c r="Q75" s="61"/>
      <c r="R75" s="61"/>
      <c r="S75" s="86"/>
      <c r="T75" s="65">
        <v>510</v>
      </c>
      <c r="U75" s="66"/>
      <c r="V75" s="66">
        <v>72</v>
      </c>
      <c r="W75" s="66">
        <v>-18</v>
      </c>
      <c r="X75" s="66"/>
      <c r="Y75" s="66"/>
      <c r="Z75" s="67">
        <f t="shared" si="99"/>
        <v>-18</v>
      </c>
      <c r="AA75" s="67" t="str">
        <f t="shared" si="100"/>
        <v/>
      </c>
      <c r="AB75" s="67" t="str">
        <f t="shared" si="101"/>
        <v/>
      </c>
      <c r="AC75" s="53">
        <v>66</v>
      </c>
      <c r="AD75" s="66">
        <v>323</v>
      </c>
      <c r="AE75" s="66"/>
      <c r="AF75" s="66"/>
      <c r="AG75" s="67">
        <f t="shared" si="102"/>
        <v>1000.0079999999998</v>
      </c>
      <c r="AH75" s="67">
        <f t="shared" si="103"/>
        <v>21.79731382901964</v>
      </c>
      <c r="AI75" s="74"/>
      <c r="AJ75" s="67">
        <f t="shared" si="104"/>
        <v>-18</v>
      </c>
      <c r="AK75" s="67"/>
      <c r="AL75" s="67"/>
      <c r="AM75" s="70">
        <v>327</v>
      </c>
      <c r="AN75" s="70"/>
      <c r="AO75" s="66"/>
      <c r="AP75" s="115">
        <f t="shared" si="105"/>
        <v>1.2383900928792571</v>
      </c>
      <c r="AQ75" s="115" t="str">
        <f t="shared" si="106"/>
        <v/>
      </c>
      <c r="AR75" s="115" t="str">
        <f t="shared" si="107"/>
        <v/>
      </c>
      <c r="AS75" s="74"/>
      <c r="AT75" s="66">
        <f>367-70*24/36+70*24/72</f>
        <v>343.66666666666663</v>
      </c>
      <c r="AU75" s="66"/>
      <c r="AV75" s="66">
        <v>36</v>
      </c>
      <c r="AW75" s="66">
        <v>-20.5</v>
      </c>
      <c r="AX75" s="66"/>
      <c r="AY75" s="66"/>
      <c r="AZ75" s="74"/>
      <c r="BA75" s="66">
        <v>721</v>
      </c>
      <c r="BB75" s="69"/>
      <c r="BC75" s="69">
        <v>36</v>
      </c>
      <c r="BD75" s="69">
        <v>-19.2</v>
      </c>
      <c r="BE75" s="69"/>
      <c r="BF75" s="69"/>
      <c r="BG75" s="78">
        <f t="shared" si="93"/>
        <v>555.91666666666663</v>
      </c>
      <c r="BH75" s="44">
        <f t="shared" si="108"/>
        <v>9.003267973856202</v>
      </c>
      <c r="BI75" s="67">
        <f t="shared" si="94"/>
        <v>964.18285714285707</v>
      </c>
      <c r="BJ75" s="68">
        <f t="shared" si="109"/>
        <v>-3.5824856258292672</v>
      </c>
      <c r="BK75" s="68">
        <f t="shared" si="95"/>
        <v>24.309441208450345</v>
      </c>
      <c r="BL75" s="44">
        <f t="shared" si="110"/>
        <v>11.524940179033479</v>
      </c>
      <c r="BN75" s="34" t="str">
        <f>B69</f>
        <v>Cat 8-NF</v>
      </c>
      <c r="BO75" s="38">
        <f t="shared" si="96"/>
        <v>22</v>
      </c>
      <c r="BR75" s="82">
        <f>AVERAGE(BH70:BH80)</f>
        <v>2.3032704772281116</v>
      </c>
      <c r="BS75" s="38">
        <f t="shared" si="97"/>
        <v>5</v>
      </c>
    </row>
    <row r="76" spans="1:71" ht="15" customHeight="1" x14ac:dyDescent="0.2">
      <c r="A76" s="56"/>
      <c r="B76" s="34">
        <v>7</v>
      </c>
      <c r="C76" s="59" t="str">
        <f t="shared" si="98"/>
        <v>34</v>
      </c>
      <c r="D76" s="60">
        <v>8</v>
      </c>
      <c r="E76" s="61" t="s">
        <v>95</v>
      </c>
      <c r="F76" s="61" t="s">
        <v>17</v>
      </c>
      <c r="G76" s="61" t="s">
        <v>15</v>
      </c>
      <c r="H76" s="62">
        <v>1</v>
      </c>
      <c r="I76" s="62">
        <v>1</v>
      </c>
      <c r="J76" s="62">
        <v>1</v>
      </c>
      <c r="K76" s="62" t="s">
        <v>96</v>
      </c>
      <c r="L76" s="63"/>
      <c r="M76" s="64" t="s">
        <v>22</v>
      </c>
      <c r="N76" s="64"/>
      <c r="O76" s="64"/>
      <c r="P76" s="61" t="s">
        <v>4</v>
      </c>
      <c r="Q76" s="61"/>
      <c r="R76" s="61"/>
      <c r="S76" s="86"/>
      <c r="T76" s="65">
        <v>587</v>
      </c>
      <c r="U76" s="66"/>
      <c r="V76" s="66">
        <v>72</v>
      </c>
      <c r="W76" s="66">
        <v>-18</v>
      </c>
      <c r="X76" s="66"/>
      <c r="Y76" s="66"/>
      <c r="Z76" s="67">
        <f t="shared" si="99"/>
        <v>-18</v>
      </c>
      <c r="AA76" s="67" t="str">
        <f t="shared" si="100"/>
        <v/>
      </c>
      <c r="AB76" s="67" t="str">
        <f t="shared" si="101"/>
        <v/>
      </c>
      <c r="AC76" s="53">
        <v>44</v>
      </c>
      <c r="AD76" s="66">
        <v>160</v>
      </c>
      <c r="AE76" s="66"/>
      <c r="AF76" s="66"/>
      <c r="AG76" s="67">
        <f t="shared" si="102"/>
        <v>594.43200000000002</v>
      </c>
      <c r="AH76" s="67">
        <f t="shared" si="103"/>
        <v>33.719765258372014</v>
      </c>
      <c r="AI76" s="74"/>
      <c r="AJ76" s="67">
        <f t="shared" si="104"/>
        <v>-18</v>
      </c>
      <c r="AK76" s="67"/>
      <c r="AL76" s="67"/>
      <c r="AM76" s="70">
        <v>162</v>
      </c>
      <c r="AN76" s="70"/>
      <c r="AO76" s="66"/>
      <c r="AP76" s="115">
        <f t="shared" si="105"/>
        <v>1.25</v>
      </c>
      <c r="AQ76" s="115" t="str">
        <f t="shared" si="106"/>
        <v/>
      </c>
      <c r="AR76" s="115" t="str">
        <f t="shared" si="107"/>
        <v/>
      </c>
      <c r="AS76" s="74"/>
      <c r="AT76" s="66">
        <v>384</v>
      </c>
      <c r="AU76" s="66"/>
      <c r="AV76" s="66">
        <v>72</v>
      </c>
      <c r="AW76" s="66">
        <v>-18</v>
      </c>
      <c r="AX76" s="66"/>
      <c r="AY76" s="66"/>
      <c r="AZ76" s="74"/>
      <c r="BA76" s="66">
        <v>696</v>
      </c>
      <c r="BB76" s="69"/>
      <c r="BC76" s="69">
        <v>72</v>
      </c>
      <c r="BD76" s="69">
        <v>-18</v>
      </c>
      <c r="BE76" s="69"/>
      <c r="BF76" s="69"/>
      <c r="BG76" s="78">
        <f t="shared" si="93"/>
        <v>559.5</v>
      </c>
      <c r="BH76" s="44">
        <f t="shared" si="108"/>
        <v>-4.6848381601362865</v>
      </c>
      <c r="BI76" s="67">
        <f t="shared" si="94"/>
        <v>573.20228571428549</v>
      </c>
      <c r="BJ76" s="68">
        <f t="shared" si="109"/>
        <v>-3.5714285714286107</v>
      </c>
      <c r="BK76" s="68">
        <f t="shared" si="95"/>
        <v>32.729469630321645</v>
      </c>
      <c r="BL76" s="44">
        <f t="shared" si="110"/>
        <v>-2.9368402195637944</v>
      </c>
      <c r="BO76" s="38">
        <f t="shared" si="96"/>
        <v>34</v>
      </c>
      <c r="BS76" s="38">
        <f t="shared" si="97"/>
        <v>5</v>
      </c>
    </row>
    <row r="77" spans="1:71" ht="15" customHeight="1" x14ac:dyDescent="0.2">
      <c r="A77" s="56"/>
      <c r="B77" s="34">
        <v>8</v>
      </c>
      <c r="C77" s="59" t="str">
        <f t="shared" si="98"/>
        <v>19</v>
      </c>
      <c r="D77" s="60">
        <v>8</v>
      </c>
      <c r="E77" s="61" t="s">
        <v>95</v>
      </c>
      <c r="F77" s="61" t="s">
        <v>17</v>
      </c>
      <c r="G77" s="61" t="s">
        <v>15</v>
      </c>
      <c r="H77" s="62">
        <v>1</v>
      </c>
      <c r="I77" s="62">
        <v>1</v>
      </c>
      <c r="J77" s="62">
        <v>1</v>
      </c>
      <c r="K77" s="62" t="s">
        <v>96</v>
      </c>
      <c r="L77" s="63"/>
      <c r="M77" s="64" t="s">
        <v>22</v>
      </c>
      <c r="N77" s="64"/>
      <c r="O77" s="64"/>
      <c r="P77" s="61" t="s">
        <v>4</v>
      </c>
      <c r="Q77" s="61"/>
      <c r="R77" s="61"/>
      <c r="S77" s="86"/>
      <c r="T77" s="65">
        <v>534</v>
      </c>
      <c r="U77" s="66"/>
      <c r="V77" s="66">
        <v>72</v>
      </c>
      <c r="W77" s="66">
        <v>-18</v>
      </c>
      <c r="X77" s="66"/>
      <c r="Y77" s="66"/>
      <c r="Z77" s="67">
        <f t="shared" si="99"/>
        <v>-18</v>
      </c>
      <c r="AA77" s="67" t="str">
        <f t="shared" si="100"/>
        <v/>
      </c>
      <c r="AB77" s="67" t="str">
        <f t="shared" si="101"/>
        <v/>
      </c>
      <c r="AC77" s="53"/>
      <c r="AD77" s="66">
        <v>360</v>
      </c>
      <c r="AE77" s="66"/>
      <c r="AF77" s="66"/>
      <c r="AG77" s="67">
        <f t="shared" si="102"/>
        <v>1337.472</v>
      </c>
      <c r="AH77" s="67">
        <f t="shared" si="103"/>
        <v>18.815569813647027</v>
      </c>
      <c r="AI77" s="74"/>
      <c r="AJ77" s="67">
        <f t="shared" si="104"/>
        <v>-18</v>
      </c>
      <c r="AK77" s="67"/>
      <c r="AL77" s="67"/>
      <c r="AM77" s="70">
        <v>363</v>
      </c>
      <c r="AN77" s="70"/>
      <c r="AO77" s="66"/>
      <c r="AP77" s="115">
        <f t="shared" si="105"/>
        <v>0.83333333333333337</v>
      </c>
      <c r="AQ77" s="115" t="str">
        <f t="shared" si="106"/>
        <v/>
      </c>
      <c r="AR77" s="115" t="str">
        <f t="shared" si="107"/>
        <v/>
      </c>
      <c r="AS77" s="74"/>
      <c r="AT77" s="66">
        <f>329-70*24/30+70*24/60</f>
        <v>301</v>
      </c>
      <c r="AU77" s="66"/>
      <c r="AV77" s="66">
        <v>30</v>
      </c>
      <c r="AW77" s="66">
        <v>-18</v>
      </c>
      <c r="AX77" s="66"/>
      <c r="AY77" s="66"/>
      <c r="AZ77" s="74"/>
      <c r="BA77" s="66">
        <v>723</v>
      </c>
      <c r="BB77" s="69"/>
      <c r="BC77" s="69">
        <v>30</v>
      </c>
      <c r="BD77" s="69">
        <v>-18</v>
      </c>
      <c r="BE77" s="69"/>
      <c r="BF77" s="69"/>
      <c r="BG77" s="78">
        <f t="shared" si="93"/>
        <v>538.375</v>
      </c>
      <c r="BH77" s="44">
        <f t="shared" si="108"/>
        <v>0.81928838951310856</v>
      </c>
      <c r="BI77" s="67">
        <f t="shared" si="94"/>
        <v>1284.3977142857141</v>
      </c>
      <c r="BJ77" s="68">
        <f t="shared" si="109"/>
        <v>-3.9682539682539826</v>
      </c>
      <c r="BK77" s="68">
        <f t="shared" si="95"/>
        <v>19.50846362108766</v>
      </c>
      <c r="BL77" s="44">
        <f t="shared" si="110"/>
        <v>3.6825555340772822</v>
      </c>
      <c r="BO77" s="38">
        <f t="shared" si="96"/>
        <v>19</v>
      </c>
      <c r="BS77" s="38">
        <f t="shared" si="97"/>
        <v>5</v>
      </c>
    </row>
    <row r="78" spans="1:71" ht="15" customHeight="1" x14ac:dyDescent="0.2">
      <c r="A78" s="56"/>
      <c r="B78" s="34">
        <v>9</v>
      </c>
      <c r="C78" s="59" t="str">
        <f t="shared" si="98"/>
        <v>25</v>
      </c>
      <c r="D78" s="60">
        <v>8</v>
      </c>
      <c r="E78" s="61" t="s">
        <v>95</v>
      </c>
      <c r="F78" s="61" t="s">
        <v>17</v>
      </c>
      <c r="G78" s="61" t="s">
        <v>15</v>
      </c>
      <c r="H78" s="62">
        <v>1</v>
      </c>
      <c r="I78" s="62">
        <v>1</v>
      </c>
      <c r="J78" s="62">
        <v>1</v>
      </c>
      <c r="K78" s="62" t="s">
        <v>94</v>
      </c>
      <c r="L78" s="63"/>
      <c r="M78" s="64" t="s">
        <v>22</v>
      </c>
      <c r="N78" s="64"/>
      <c r="O78" s="64"/>
      <c r="P78" s="61" t="s">
        <v>4</v>
      </c>
      <c r="Q78" s="61"/>
      <c r="R78" s="61"/>
      <c r="S78" s="86"/>
      <c r="T78" s="65">
        <v>719</v>
      </c>
      <c r="U78" s="66"/>
      <c r="V78" s="66">
        <v>72</v>
      </c>
      <c r="W78" s="66">
        <v>-18</v>
      </c>
      <c r="X78" s="66"/>
      <c r="Y78" s="66"/>
      <c r="Z78" s="67">
        <f t="shared" si="99"/>
        <v>-18</v>
      </c>
      <c r="AA78" s="67" t="str">
        <f t="shared" si="100"/>
        <v/>
      </c>
      <c r="AB78" s="67" t="str">
        <f t="shared" si="101"/>
        <v/>
      </c>
      <c r="AC78" s="53"/>
      <c r="AD78" s="66">
        <v>360</v>
      </c>
      <c r="AE78" s="66"/>
      <c r="AF78" s="66"/>
      <c r="AG78" s="67">
        <f t="shared" si="102"/>
        <v>1337.472</v>
      </c>
      <c r="AH78" s="67">
        <f t="shared" si="103"/>
        <v>25.334072464442347</v>
      </c>
      <c r="AI78" s="74"/>
      <c r="AJ78" s="67">
        <f t="shared" si="104"/>
        <v>-18</v>
      </c>
      <c r="AK78" s="67"/>
      <c r="AL78" s="67"/>
      <c r="AM78" s="70">
        <v>363</v>
      </c>
      <c r="AN78" s="70"/>
      <c r="AO78" s="66"/>
      <c r="AP78" s="115">
        <f t="shared" si="105"/>
        <v>0.83333333333333337</v>
      </c>
      <c r="AQ78" s="115" t="str">
        <f t="shared" si="106"/>
        <v/>
      </c>
      <c r="AR78" s="115" t="str">
        <f t="shared" si="107"/>
        <v/>
      </c>
      <c r="AS78" s="74"/>
      <c r="AT78" s="66">
        <f>539-70*24/30+70*24/60</f>
        <v>511</v>
      </c>
      <c r="AU78" s="66"/>
      <c r="AV78" s="66">
        <v>30</v>
      </c>
      <c r="AW78" s="66">
        <v>-18</v>
      </c>
      <c r="AX78" s="66"/>
      <c r="AY78" s="66"/>
      <c r="AZ78" s="74"/>
      <c r="BA78" s="66">
        <v>985</v>
      </c>
      <c r="BB78" s="69"/>
      <c r="BC78" s="69">
        <v>30</v>
      </c>
      <c r="BD78" s="69">
        <v>-18</v>
      </c>
      <c r="BE78" s="69"/>
      <c r="BF78" s="69"/>
      <c r="BG78" s="78">
        <f t="shared" si="93"/>
        <v>777.625</v>
      </c>
      <c r="BH78" s="44">
        <f t="shared" si="108"/>
        <v>8.1536856745479831</v>
      </c>
      <c r="BI78" s="67">
        <f t="shared" si="94"/>
        <v>1284.3977142857141</v>
      </c>
      <c r="BJ78" s="68">
        <f t="shared" si="109"/>
        <v>-3.9682539682539826</v>
      </c>
      <c r="BK78" s="68">
        <f t="shared" si="95"/>
        <v>28.177885346363205</v>
      </c>
      <c r="BL78" s="44">
        <f t="shared" si="110"/>
        <v>11.22524965503392</v>
      </c>
      <c r="BO78" s="38">
        <f t="shared" si="96"/>
        <v>25</v>
      </c>
      <c r="BS78" s="38">
        <f t="shared" si="97"/>
        <v>5</v>
      </c>
    </row>
    <row r="79" spans="1:71" ht="15" customHeight="1" x14ac:dyDescent="0.2">
      <c r="A79" s="56"/>
      <c r="B79" s="34">
        <v>10</v>
      </c>
      <c r="C79" s="59" t="str">
        <f t="shared" si="98"/>
        <v>22</v>
      </c>
      <c r="D79" s="60">
        <v>8</v>
      </c>
      <c r="E79" s="61" t="s">
        <v>94</v>
      </c>
      <c r="F79" s="61" t="s">
        <v>17</v>
      </c>
      <c r="G79" s="61" t="s">
        <v>15</v>
      </c>
      <c r="H79" s="62">
        <v>1</v>
      </c>
      <c r="I79" s="62">
        <v>1</v>
      </c>
      <c r="J79" s="62">
        <v>1</v>
      </c>
      <c r="K79" s="62" t="s">
        <v>96</v>
      </c>
      <c r="L79" s="63"/>
      <c r="M79" s="64" t="s">
        <v>22</v>
      </c>
      <c r="N79" s="64"/>
      <c r="O79" s="64"/>
      <c r="P79" s="61" t="s">
        <v>4</v>
      </c>
      <c r="Q79" s="61"/>
      <c r="R79" s="61"/>
      <c r="S79" s="86"/>
      <c r="T79" s="65">
        <v>473</v>
      </c>
      <c r="U79" s="66"/>
      <c r="V79" s="66">
        <v>72</v>
      </c>
      <c r="W79" s="66">
        <v>-18</v>
      </c>
      <c r="X79" s="66"/>
      <c r="Y79" s="66"/>
      <c r="Z79" s="67">
        <f t="shared" si="99"/>
        <v>-18</v>
      </c>
      <c r="AA79" s="67" t="str">
        <f t="shared" si="100"/>
        <v/>
      </c>
      <c r="AB79" s="67" t="str">
        <f t="shared" si="101"/>
        <v/>
      </c>
      <c r="AC79" s="53"/>
      <c r="AD79" s="66">
        <v>286</v>
      </c>
      <c r="AE79" s="66"/>
      <c r="AF79" s="66"/>
      <c r="AG79" s="67">
        <f t="shared" si="102"/>
        <v>885.45600000000002</v>
      </c>
      <c r="AH79" s="67">
        <f t="shared" si="103"/>
        <v>21.791435785618791</v>
      </c>
      <c r="AI79" s="74"/>
      <c r="AJ79" s="67">
        <f t="shared" si="104"/>
        <v>-18</v>
      </c>
      <c r="AK79" s="67"/>
      <c r="AL79" s="67"/>
      <c r="AM79" s="70">
        <v>289</v>
      </c>
      <c r="AN79" s="70"/>
      <c r="AO79" s="66"/>
      <c r="AP79" s="115">
        <f t="shared" si="105"/>
        <v>1.048951048951049</v>
      </c>
      <c r="AQ79" s="115" t="str">
        <f t="shared" si="106"/>
        <v/>
      </c>
      <c r="AR79" s="115" t="str">
        <f t="shared" si="107"/>
        <v/>
      </c>
      <c r="AS79" s="74"/>
      <c r="AT79" s="66">
        <f>299-70*24/30+70*24/60</f>
        <v>271</v>
      </c>
      <c r="AU79" s="66"/>
      <c r="AV79" s="66">
        <v>30</v>
      </c>
      <c r="AW79" s="66">
        <v>-18</v>
      </c>
      <c r="AX79" s="66"/>
      <c r="AY79" s="66"/>
      <c r="AZ79" s="74"/>
      <c r="BA79" s="66">
        <v>626</v>
      </c>
      <c r="BB79" s="69"/>
      <c r="BC79" s="69">
        <v>30</v>
      </c>
      <c r="BD79" s="69">
        <v>-18</v>
      </c>
      <c r="BE79" s="69"/>
      <c r="BF79" s="69"/>
      <c r="BG79" s="78">
        <f t="shared" si="93"/>
        <v>470.6875</v>
      </c>
      <c r="BH79" s="44">
        <f t="shared" si="108"/>
        <v>-0.48890063424947144</v>
      </c>
      <c r="BI79" s="67">
        <f t="shared" si="94"/>
        <v>852.13714285714275</v>
      </c>
      <c r="BJ79" s="68">
        <f t="shared" si="109"/>
        <v>-3.7629037629037771</v>
      </c>
      <c r="BK79" s="68">
        <f t="shared" si="95"/>
        <v>22.18784857204022</v>
      </c>
      <c r="BL79" s="44">
        <f t="shared" si="110"/>
        <v>1.819121926252518</v>
      </c>
      <c r="BO79" s="38">
        <f t="shared" si="96"/>
        <v>22</v>
      </c>
      <c r="BS79" s="38">
        <f t="shared" si="97"/>
        <v>5</v>
      </c>
    </row>
    <row r="80" spans="1:71" ht="15" customHeight="1" x14ac:dyDescent="0.2">
      <c r="A80" s="56"/>
      <c r="B80" s="34">
        <v>11</v>
      </c>
      <c r="C80" s="106" t="str">
        <f t="shared" si="98"/>
        <v>47</v>
      </c>
      <c r="D80" s="107">
        <v>8</v>
      </c>
      <c r="E80" s="108" t="s">
        <v>94</v>
      </c>
      <c r="F80" s="108" t="s">
        <v>17</v>
      </c>
      <c r="G80" s="108" t="s">
        <v>15</v>
      </c>
      <c r="H80" s="109">
        <v>1</v>
      </c>
      <c r="I80" s="109">
        <v>1</v>
      </c>
      <c r="J80" s="109">
        <v>1</v>
      </c>
      <c r="K80" s="109" t="s">
        <v>94</v>
      </c>
      <c r="L80" s="110"/>
      <c r="M80" s="111" t="s">
        <v>22</v>
      </c>
      <c r="N80" s="111"/>
      <c r="O80" s="111"/>
      <c r="P80" s="108" t="s">
        <v>4</v>
      </c>
      <c r="Q80" s="108"/>
      <c r="R80" s="108"/>
      <c r="S80" s="86"/>
      <c r="T80" s="112">
        <v>795</v>
      </c>
      <c r="U80" s="113"/>
      <c r="V80" s="113" t="s">
        <v>119</v>
      </c>
      <c r="W80" s="113">
        <v>-18</v>
      </c>
      <c r="X80" s="113"/>
      <c r="Y80" s="113"/>
      <c r="Z80" s="114">
        <f>GetReferenceTemperature(M80,"AV2011")</f>
        <v>-18</v>
      </c>
      <c r="AA80" s="114" t="str">
        <f>GetReferenceTemperature(N80,"AV2011")</f>
        <v/>
      </c>
      <c r="AB80" s="114" t="str">
        <f>GetReferenceTemperature(O80,"AV2011")</f>
        <v/>
      </c>
      <c r="AC80" s="53"/>
      <c r="AD80" s="113">
        <v>185</v>
      </c>
      <c r="AE80" s="113"/>
      <c r="AF80" s="113"/>
      <c r="AG80" s="114">
        <f>EnergyLabel("AV2011",AD80:AF80,M80:O80,P80:R80,F80,E80,D80,T80,0)</f>
        <v>572.75999999999988</v>
      </c>
      <c r="AH80" s="114">
        <f>EnergyLabel("EI2011",AD80:AF80,M80:O80,P80:R80,F80,E80,D80,T80*365/1000,0)</f>
        <v>46.523455709862567</v>
      </c>
      <c r="AI80" s="74"/>
      <c r="AJ80" s="114">
        <f>GetReferenceTemperature(M80,"AV_NG")</f>
        <v>-18</v>
      </c>
      <c r="AK80" s="114"/>
      <c r="AL80" s="114"/>
      <c r="AM80" s="70">
        <v>198</v>
      </c>
      <c r="AN80" s="70"/>
      <c r="AO80" s="113"/>
      <c r="AP80" s="115">
        <f t="shared" si="105"/>
        <v>7.0270270270270272</v>
      </c>
      <c r="AQ80" s="115" t="str">
        <f t="shared" si="106"/>
        <v/>
      </c>
      <c r="AR80" s="115" t="str">
        <f t="shared" si="107"/>
        <v/>
      </c>
      <c r="AS80" s="74"/>
      <c r="AT80" s="113">
        <v>493</v>
      </c>
      <c r="AU80" s="113"/>
      <c r="AV80" s="113">
        <v>80</v>
      </c>
      <c r="AW80" s="113">
        <v>-18</v>
      </c>
      <c r="AX80" s="113"/>
      <c r="AY80" s="113"/>
      <c r="AZ80" s="74"/>
      <c r="BA80" s="113">
        <v>968</v>
      </c>
      <c r="BB80" s="116"/>
      <c r="BC80" s="116">
        <v>40</v>
      </c>
      <c r="BD80" s="116">
        <v>-18</v>
      </c>
      <c r="BE80" s="116"/>
      <c r="BF80" s="116"/>
      <c r="BG80" s="78">
        <f>f_Cons*AT80+(1-f_Cons)*BA80</f>
        <v>760.1875</v>
      </c>
      <c r="BH80" s="44">
        <f>IF(AND(ISNUMBER(BG80),ISNUMBER(T80)),(BG80-T80)/T80*100,"not complete")</f>
        <v>-4.3789308176100628</v>
      </c>
      <c r="BI80" s="114">
        <f>EnergyLabel("AV_NG",AM80:AO80,M80:O80,P80:R80,F80,E80,D80,T80, f_Cons)</f>
        <v>583.8171428571427</v>
      </c>
      <c r="BJ80" s="115">
        <f>IF(AND(ISNUMBER(BI80),ISNUMBER(AG80)),(BI80-AG80)/AG80*100,"")</f>
        <v>1.9305019305019246</v>
      </c>
      <c r="BK80" s="115">
        <f>EnergyLabel("EI_NG",AM80:AO80,M80:O80,P80:R80,F80,E80,D80,BG80*365/1000,f_Cons)</f>
        <v>44.065170494277197</v>
      </c>
      <c r="BL80" s="44">
        <f>IF(AND(ISNUMBER(BK80),ISNUMBER(AH80)),(BK80-AH80)/AH80*100,"not complete")</f>
        <v>-5.2839695118869576</v>
      </c>
      <c r="BO80" s="38">
        <f t="shared" si="96"/>
        <v>47</v>
      </c>
      <c r="BS80" s="38"/>
    </row>
    <row r="81" spans="1:71" s="38" customFormat="1" ht="15" customHeight="1" x14ac:dyDescent="0.2">
      <c r="A81" s="81"/>
      <c r="B81" s="38" t="s">
        <v>92</v>
      </c>
      <c r="C81" s="39"/>
      <c r="D81" s="26"/>
      <c r="E81" s="27"/>
      <c r="F81" s="27"/>
      <c r="G81" s="27"/>
      <c r="H81" s="28"/>
      <c r="I81" s="28"/>
      <c r="J81" s="28"/>
      <c r="K81" s="28"/>
      <c r="L81" s="29"/>
      <c r="M81" s="30"/>
      <c r="N81" s="30"/>
      <c r="O81" s="30"/>
      <c r="P81" s="27"/>
      <c r="Q81" s="27"/>
      <c r="R81" s="27"/>
      <c r="S81" s="86"/>
      <c r="T81" s="31"/>
      <c r="U81" s="32"/>
      <c r="V81" s="32"/>
      <c r="W81" s="32"/>
      <c r="X81" s="32"/>
      <c r="Y81" s="32"/>
      <c r="Z81" s="33"/>
      <c r="AA81" s="33"/>
      <c r="AB81" s="33"/>
      <c r="AC81" s="55"/>
      <c r="AD81" s="32"/>
      <c r="AE81" s="32"/>
      <c r="AF81" s="32"/>
      <c r="AG81" s="33"/>
      <c r="AH81" s="33"/>
      <c r="AI81" s="74"/>
      <c r="AJ81" s="33"/>
      <c r="AK81" s="33"/>
      <c r="AL81" s="33"/>
      <c r="AM81" s="32"/>
      <c r="AN81" s="32"/>
      <c r="AO81" s="32"/>
      <c r="AP81" s="13">
        <v>0</v>
      </c>
      <c r="AQ81" s="13"/>
      <c r="AR81" s="13"/>
      <c r="AS81" s="73"/>
      <c r="AT81" s="13"/>
      <c r="AU81" s="13"/>
      <c r="AV81" s="13"/>
      <c r="AW81" s="13"/>
      <c r="AX81" s="13"/>
      <c r="AY81" s="13"/>
      <c r="AZ81" s="73"/>
      <c r="BA81" s="13"/>
      <c r="BB81" s="13"/>
      <c r="BC81" s="13"/>
      <c r="BD81" s="13"/>
      <c r="BE81" s="13"/>
      <c r="BF81" s="13"/>
      <c r="BG81" s="79"/>
      <c r="BH81" s="13">
        <v>0</v>
      </c>
      <c r="BI81" s="33"/>
      <c r="BJ81" s="13">
        <v>0</v>
      </c>
      <c r="BK81" s="13">
        <v>0</v>
      </c>
      <c r="BL81" s="14">
        <v>0</v>
      </c>
      <c r="BP81" s="38">
        <f>$BP$1</f>
        <v>100</v>
      </c>
      <c r="BQ81" s="38">
        <f>-$BP$1</f>
        <v>-100</v>
      </c>
      <c r="BS81" s="38">
        <f t="shared" si="97"/>
        <v>5</v>
      </c>
    </row>
    <row r="82" spans="1:71" ht="15" customHeight="1" x14ac:dyDescent="0.2">
      <c r="A82" s="56"/>
      <c r="B82" s="34">
        <v>1</v>
      </c>
      <c r="C82" s="37" t="str">
        <f t="shared" si="4"/>
        <v>34</v>
      </c>
      <c r="D82" s="18">
        <v>9</v>
      </c>
      <c r="E82" s="19" t="s">
        <v>94</v>
      </c>
      <c r="F82" s="19" t="s">
        <v>17</v>
      </c>
      <c r="G82" s="19" t="s">
        <v>15</v>
      </c>
      <c r="H82" s="20">
        <v>1</v>
      </c>
      <c r="I82" s="20">
        <v>1</v>
      </c>
      <c r="J82" s="20">
        <v>1</v>
      </c>
      <c r="K82" s="20" t="s">
        <v>94</v>
      </c>
      <c r="L82" s="21" t="s">
        <v>76</v>
      </c>
      <c r="M82" s="22" t="s">
        <v>22</v>
      </c>
      <c r="N82" s="22"/>
      <c r="O82" s="22"/>
      <c r="P82" s="19" t="s">
        <v>7</v>
      </c>
      <c r="Q82" s="19"/>
      <c r="R82" s="19"/>
      <c r="S82" s="86"/>
      <c r="T82" s="23">
        <v>580</v>
      </c>
      <c r="U82" s="24"/>
      <c r="V82" s="24"/>
      <c r="W82" s="24">
        <v>-18</v>
      </c>
      <c r="X82" s="24"/>
      <c r="Y82" s="24"/>
      <c r="Z82" s="25">
        <f t="shared" ref="Z82:AB83" si="111">GetReferenceTemperature(M82,"AV2011")</f>
        <v>-18</v>
      </c>
      <c r="AA82" s="25" t="str">
        <f t="shared" si="111"/>
        <v/>
      </c>
      <c r="AB82" s="25" t="str">
        <f t="shared" si="111"/>
        <v/>
      </c>
      <c r="AC82" s="53"/>
      <c r="AD82" s="24">
        <v>284</v>
      </c>
      <c r="AE82" s="24"/>
      <c r="AF82" s="24"/>
      <c r="AG82" s="25">
        <f>EnergyLabel("AV2011",AD82:AF82,M82:O82,P82:R82,F82,E82,D82,T82,0)</f>
        <v>732.72</v>
      </c>
      <c r="AH82" s="25">
        <f>EnergyLabel("EI2011",AD82:AF82,M82:O82,P82:R82,F82,E82,D82,T82*365/1000,0)</f>
        <v>33.505114175046792</v>
      </c>
      <c r="AI82" s="74"/>
      <c r="AJ82" s="25">
        <f t="shared" ref="AJ82:AL83" si="112">GetReferenceTemperature(M82,"AV_NG")</f>
        <v>-18</v>
      </c>
      <c r="AK82" s="25" t="str">
        <f t="shared" si="112"/>
        <v/>
      </c>
      <c r="AL82" s="25" t="str">
        <f t="shared" si="112"/>
        <v/>
      </c>
      <c r="AM82" s="70">
        <v>286</v>
      </c>
      <c r="AN82" s="24"/>
      <c r="AO82" s="24"/>
      <c r="AP82" s="42">
        <f t="shared" ref="AP82:AR83" si="113">IF(AND(ISNUMBER(AM82),ISNUMBER(AD82)),(AM82-AD82)/AD82*100,"")</f>
        <v>0.70422535211267612</v>
      </c>
      <c r="AQ82" s="42" t="str">
        <f t="shared" si="113"/>
        <v/>
      </c>
      <c r="AR82" s="42" t="str">
        <f t="shared" si="113"/>
        <v/>
      </c>
      <c r="AS82" s="74"/>
      <c r="AT82" s="24">
        <v>368</v>
      </c>
      <c r="AU82" s="24"/>
      <c r="AV82" s="24"/>
      <c r="AW82" s="24">
        <v>-18</v>
      </c>
      <c r="AX82" s="24"/>
      <c r="AY82" s="24"/>
      <c r="AZ82" s="74"/>
      <c r="BA82" s="24">
        <v>728</v>
      </c>
      <c r="BB82" s="43"/>
      <c r="BC82" s="43"/>
      <c r="BD82" s="43">
        <v>-18</v>
      </c>
      <c r="BE82" s="43"/>
      <c r="BF82" s="43"/>
      <c r="BG82" s="78">
        <f>f_Cons*AT82+(1-f_Cons)*BA82</f>
        <v>570.5</v>
      </c>
      <c r="BH82" s="44">
        <f>IF(AND(ISNUMBER(BG82),ISNUMBER(T82)),(BG82-T82)/T82*100,"not complete")</f>
        <v>-1.6379310344827587</v>
      </c>
      <c r="BI82" s="25">
        <f>EnergyLabel("AV_NG",AM82:AO82,M82:O82,P82:R82,F82,E82,D82,T82, f_Cons)</f>
        <v>702.74285714285713</v>
      </c>
      <c r="BJ82" s="42">
        <f>IF(AND(ISNUMBER(BI82),ISNUMBER(AG82)),(BI82-AG82)/AG82*100,"")</f>
        <v>-4.0912139503688847</v>
      </c>
      <c r="BK82" s="42">
        <f>EnergyLabel("EI_NG",AM82:AO82,M82:O82,P82:R82,F82,E82,D82,BG82*365/1000,f_Cons)</f>
        <v>33.71123697183333</v>
      </c>
      <c r="BL82" s="44">
        <f>IF(AND(ISNUMBER(BK82),ISNUMBER(AH82)),(BK82-AH82)/AH82*100,"not complete")</f>
        <v>0.61519801338283286</v>
      </c>
      <c r="BO82" s="38">
        <f t="shared" si="96"/>
        <v>34</v>
      </c>
      <c r="BS82" s="38">
        <f t="shared" si="97"/>
        <v>5</v>
      </c>
    </row>
    <row r="83" spans="1:71" ht="15" customHeight="1" x14ac:dyDescent="0.2">
      <c r="A83" s="56"/>
      <c r="B83" s="34">
        <v>2</v>
      </c>
      <c r="C83" s="37" t="str">
        <f t="shared" si="4"/>
        <v>43</v>
      </c>
      <c r="D83" s="18">
        <v>9</v>
      </c>
      <c r="E83" s="19" t="s">
        <v>94</v>
      </c>
      <c r="F83" s="19" t="s">
        <v>17</v>
      </c>
      <c r="G83" s="19" t="s">
        <v>15</v>
      </c>
      <c r="H83" s="20">
        <v>1</v>
      </c>
      <c r="I83" s="20">
        <v>1</v>
      </c>
      <c r="J83" s="20">
        <v>1</v>
      </c>
      <c r="K83" s="20" t="s">
        <v>94</v>
      </c>
      <c r="L83" s="21"/>
      <c r="M83" s="22" t="s">
        <v>22</v>
      </c>
      <c r="N83" s="22"/>
      <c r="O83" s="22"/>
      <c r="P83" s="19" t="s">
        <v>7</v>
      </c>
      <c r="Q83" s="19"/>
      <c r="R83" s="19"/>
      <c r="S83" s="86"/>
      <c r="T83" s="23">
        <v>893</v>
      </c>
      <c r="U83" s="24">
        <v>47.3</v>
      </c>
      <c r="V83" s="24"/>
      <c r="W83" s="24"/>
      <c r="X83" s="24"/>
      <c r="Y83" s="24"/>
      <c r="Z83" s="25">
        <f t="shared" si="111"/>
        <v>-18</v>
      </c>
      <c r="AA83" s="25" t="str">
        <f t="shared" si="111"/>
        <v/>
      </c>
      <c r="AB83" s="25" t="str">
        <f t="shared" si="111"/>
        <v/>
      </c>
      <c r="AC83" s="53"/>
      <c r="AD83" s="24">
        <v>390</v>
      </c>
      <c r="AE83" s="24"/>
      <c r="AF83" s="24"/>
      <c r="AG83" s="25">
        <f>EnergyLabel("AV2011",AD83:AF83,M83:O83,P83:R83,F83,E83,D83,T83,0)</f>
        <v>1006.1999999999999</v>
      </c>
      <c r="AH83" s="25">
        <f>EnergyLabel("EI2011",AD83:AF83,M83:O83,P83:R83,F83,E83,D83,T83*365/1000,0)</f>
        <v>42.835286040805002</v>
      </c>
      <c r="AI83" s="74"/>
      <c r="AJ83" s="25">
        <f t="shared" si="112"/>
        <v>-18</v>
      </c>
      <c r="AK83" s="25" t="str">
        <f t="shared" si="112"/>
        <v/>
      </c>
      <c r="AL83" s="25" t="str">
        <f t="shared" si="112"/>
        <v/>
      </c>
      <c r="AM83" s="24">
        <v>391</v>
      </c>
      <c r="AN83" s="24"/>
      <c r="AO83" s="24"/>
      <c r="AP83" s="42">
        <f t="shared" si="113"/>
        <v>0.25641025641025639</v>
      </c>
      <c r="AQ83" s="42" t="str">
        <f t="shared" si="113"/>
        <v/>
      </c>
      <c r="AR83" s="42" t="str">
        <f t="shared" si="113"/>
        <v/>
      </c>
      <c r="AS83" s="74"/>
      <c r="AT83" s="24">
        <v>587</v>
      </c>
      <c r="AU83" s="24">
        <v>30.8</v>
      </c>
      <c r="AV83" s="24"/>
      <c r="AW83" s="24">
        <v>-18</v>
      </c>
      <c r="AX83" s="24"/>
      <c r="AY83" s="24"/>
      <c r="AZ83" s="74"/>
      <c r="BA83" s="24">
        <v>1083</v>
      </c>
      <c r="BB83" s="43">
        <v>68</v>
      </c>
      <c r="BC83" s="43"/>
      <c r="BD83" s="43">
        <v>-18</v>
      </c>
      <c r="BE83" s="43"/>
      <c r="BF83" s="43"/>
      <c r="BG83" s="78">
        <f>f_Cons*AT83+(1-f_Cons)*BA83</f>
        <v>866</v>
      </c>
      <c r="BH83" s="44">
        <f>IF(AND(ISNUMBER(BG83),ISNUMBER(T83)),(BG83-T83)/T83*100,"not complete")</f>
        <v>-3.0235162374020157</v>
      </c>
      <c r="BI83" s="25">
        <f>EnergyLabel("AV_NG",AM83:AO83,M83:O83,P83:R83,F83,E83,D83,T83, f_Cons)</f>
        <v>960.74285714285702</v>
      </c>
      <c r="BJ83" s="42">
        <f>IF(AND(ISNUMBER(BI83),ISNUMBER(AG83)),(BI83-AG83)/AG83*100,"")</f>
        <v>-4.517704517704523</v>
      </c>
      <c r="BK83" s="42">
        <f>EnergyLabel("EI_NG",AM83:AO83,M83:O83,P83:R83,F83,E83,D83,BG83*365/1000,f_Cons)</f>
        <v>42.745443535823618</v>
      </c>
      <c r="BL83" s="44">
        <f>IF(AND(ISNUMBER(BK83),ISNUMBER(AH83)),(BK83-AH83)/AH83*100,"not complete")</f>
        <v>-0.2097394771586201</v>
      </c>
      <c r="BN83" s="34" t="str">
        <f>B81</f>
        <v>Cat 9</v>
      </c>
      <c r="BO83" s="38">
        <f t="shared" si="96"/>
        <v>43</v>
      </c>
      <c r="BR83" s="82">
        <f>AVERAGE(BH82:BH83)</f>
        <v>-2.3307236359423871</v>
      </c>
      <c r="BS83" s="38">
        <f t="shared" si="97"/>
        <v>5</v>
      </c>
    </row>
    <row r="84" spans="1:71" ht="15" customHeight="1" x14ac:dyDescent="0.2"/>
  </sheetData>
  <autoFilter ref="A3:BL83"/>
  <sortState ref="C3:BM26">
    <sortCondition ref="D3:D26"/>
    <sortCondition ref="I3:I26"/>
    <sortCondition ref="AH3:AH26"/>
  </sortState>
  <dataValidations count="7">
    <dataValidation type="list" allowBlank="1" showInputMessage="1" showErrorMessage="1" sqref="F5:F35 F37:F45 F47:F49 F63:F82">
      <formula1>MaxClimateClass_Options</formula1>
    </dataValidation>
    <dataValidation type="list" allowBlank="1" showErrorMessage="1" errorTitle="Climate Class" error="Incorrect minium given" sqref="G5:G35 G37:G45 G47:G49 G63:G82">
      <formula1>MinClimateClass_Options</formula1>
    </dataValidation>
    <dataValidation type="list" allowBlank="1" showInputMessage="1" showErrorMessage="1" sqref="K5:K35 K37:K45 K47:K49 K63:K82">
      <formula1>CompressorType</formula1>
    </dataValidation>
    <dataValidation type="list" allowBlank="1" showInputMessage="1" showErrorMessage="1" sqref="E5:E35 E37:E45 E47:E49 E63:E82">
      <formula1>Placement_options</formula1>
    </dataValidation>
    <dataValidation type="list" allowBlank="1" showInputMessage="1" showErrorMessage="1" sqref="P5:R35 P37:R45 P47:R49 P63:R82">
      <formula1>YesNo</formula1>
    </dataValidation>
    <dataValidation type="list" allowBlank="1" showInputMessage="1" showErrorMessage="1" sqref="M5:O35 M37:O45 M47:O49 M63:O82">
      <formula1>CompartmentTypes</formula1>
    </dataValidation>
    <dataValidation type="whole" allowBlank="1" showInputMessage="1" showErrorMessage="1" sqref="D5:D35 D37:D45 D47:D49 D63:D82">
      <formula1>1</formula1>
      <formula2>10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1FE01E710DD478361395E5A09A426" ma:contentTypeVersion="1" ma:contentTypeDescription="Create a new document." ma:contentTypeScope="" ma:versionID="366138cb86073b606f2e65b7b338e8f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EABD37-1EF9-4778-BE38-8851E7FA4C31}"/>
</file>

<file path=customXml/itemProps2.xml><?xml version="1.0" encoding="utf-8"?>
<ds:datastoreItem xmlns:ds="http://schemas.openxmlformats.org/officeDocument/2006/customXml" ds:itemID="{5AC13208-DC87-4C98-886B-C55CF9BAD2C3}"/>
</file>

<file path=customXml/itemProps3.xml><?xml version="1.0" encoding="utf-8"?>
<ds:datastoreItem xmlns:ds="http://schemas.openxmlformats.org/officeDocument/2006/customXml" ds:itemID="{BC8C60D4-E3AE-4204-A468-D7382B111AE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Overview</vt:lpstr>
      <vt:lpstr>WorkArea</vt:lpstr>
      <vt:lpstr>DB</vt:lpstr>
      <vt:lpstr>CompartmentTypes</vt:lpstr>
      <vt:lpstr>CompressorType</vt:lpstr>
      <vt:lpstr>f_Cons</vt:lpstr>
      <vt:lpstr>MaxClimateClass_Options</vt:lpstr>
      <vt:lpstr>MinClimateClass_Options</vt:lpstr>
      <vt:lpstr>Placement_options</vt:lpstr>
      <vt:lpstr>YesNo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Martien</dc:creator>
  <cp:lastModifiedBy>Rene</cp:lastModifiedBy>
  <cp:lastPrinted>2013-04-05T15:19:22Z</cp:lastPrinted>
  <dcterms:created xsi:type="dcterms:W3CDTF">2013-03-13T10:40:41Z</dcterms:created>
  <dcterms:modified xsi:type="dcterms:W3CDTF">2015-06-02T15:29:02Z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0x010100F171FE01E710DD478361395E5A09A426</vt:lpwstr>
  </property>
</Properties>
</file>