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024"/>
  </bookViews>
  <sheets>
    <sheet name="Table 19" sheetId="1" r:id="rId1"/>
  </sheets>
  <externalReferences>
    <externalReference r:id="rId2"/>
  </externalReferences>
  <definedNames>
    <definedName name="a" localSheetId="0">'Table 19'!#REF!</definedName>
    <definedName name="a">#REF!</definedName>
    <definedName name="b" localSheetId="0">'Table 19'!#REF!</definedName>
    <definedName name="b">#REF!</definedName>
    <definedName name="d" localSheetId="0">'Table 19'!$C$10:$Y$10</definedName>
    <definedName name="d">#REF!</definedName>
    <definedName name="h" localSheetId="0">'Table 19'!$C$11:$Y$11</definedName>
    <definedName name="h">#REF!</definedName>
    <definedName name="k" localSheetId="0">#REF!</definedName>
    <definedName name="k">#REF!</definedName>
    <definedName name="t" localSheetId="0">'Table 19'!$C$14:$Y$14</definedName>
    <definedName name="t">#REF!</definedName>
    <definedName name="w" localSheetId="0">'Table 19'!$C$9:$Y$9</definedName>
    <definedName name="w">#REF!</definedName>
  </definedNames>
  <calcPr calcId="145621"/>
</workbook>
</file>

<file path=xl/calcChain.xml><?xml version="1.0" encoding="utf-8"?>
<calcChain xmlns="http://schemas.openxmlformats.org/spreadsheetml/2006/main">
  <c r="X59" i="1" l="1"/>
  <c r="Q59" i="1"/>
  <c r="N59" i="1"/>
  <c r="V58" i="1"/>
  <c r="C58" i="1"/>
  <c r="Q57" i="1"/>
  <c r="N57" i="1"/>
  <c r="X56" i="1"/>
  <c r="X58" i="1" s="1"/>
  <c r="V56" i="1"/>
  <c r="U56" i="1"/>
  <c r="U58" i="1" s="1"/>
  <c r="S56" i="1"/>
  <c r="S58" i="1" s="1"/>
  <c r="R56" i="1"/>
  <c r="R58" i="1" s="1"/>
  <c r="Q56" i="1"/>
  <c r="Q58" i="1" s="1"/>
  <c r="P56" i="1"/>
  <c r="P58" i="1" s="1"/>
  <c r="O56" i="1"/>
  <c r="O58" i="1" s="1"/>
  <c r="N56" i="1"/>
  <c r="N58" i="1" s="1"/>
  <c r="M56" i="1"/>
  <c r="M58" i="1" s="1"/>
  <c r="K56" i="1"/>
  <c r="K58" i="1" s="1"/>
  <c r="J56" i="1"/>
  <c r="J58" i="1" s="1"/>
  <c r="I56" i="1"/>
  <c r="I58" i="1" s="1"/>
  <c r="H56" i="1"/>
  <c r="H58" i="1" s="1"/>
  <c r="F56" i="1"/>
  <c r="F58" i="1" s="1"/>
  <c r="E56" i="1"/>
  <c r="E58" i="1" s="1"/>
  <c r="D56" i="1"/>
  <c r="D58" i="1" s="1"/>
  <c r="C56" i="1"/>
  <c r="V49" i="1"/>
  <c r="S49" i="1"/>
  <c r="P49" i="1"/>
  <c r="M49" i="1"/>
  <c r="K49" i="1"/>
  <c r="J49" i="1"/>
  <c r="I49" i="1"/>
  <c r="H49" i="1"/>
  <c r="V47" i="1"/>
  <c r="K36" i="1"/>
  <c r="J36" i="1"/>
  <c r="I36" i="1"/>
  <c r="H36" i="1"/>
  <c r="F36" i="1"/>
  <c r="E36" i="1"/>
  <c r="D36" i="1"/>
  <c r="C36" i="1"/>
  <c r="K35" i="1"/>
  <c r="J35" i="1"/>
  <c r="I35" i="1"/>
  <c r="H35" i="1"/>
  <c r="F35" i="1"/>
  <c r="E35" i="1"/>
  <c r="D35" i="1"/>
  <c r="C35" i="1"/>
  <c r="K34" i="1"/>
  <c r="J34" i="1"/>
  <c r="I34" i="1"/>
  <c r="H34" i="1"/>
  <c r="X27" i="1"/>
  <c r="V27" i="1"/>
  <c r="U27" i="1"/>
  <c r="S27" i="1"/>
  <c r="R27" i="1"/>
  <c r="P27" i="1"/>
  <c r="O27" i="1"/>
  <c r="M27" i="1"/>
  <c r="X26" i="1"/>
  <c r="X57" i="1" s="1"/>
  <c r="V26" i="1"/>
  <c r="V33" i="1" s="1"/>
  <c r="U26" i="1"/>
  <c r="U57" i="1" s="1"/>
  <c r="S26" i="1"/>
  <c r="S57" i="1" s="1"/>
  <c r="R26" i="1"/>
  <c r="R57" i="1" s="1"/>
  <c r="P26" i="1"/>
  <c r="P33" i="1" s="1"/>
  <c r="O26" i="1"/>
  <c r="M26" i="1"/>
  <c r="M47" i="1" s="1"/>
  <c r="K25" i="1"/>
  <c r="J25" i="1"/>
  <c r="I25" i="1"/>
  <c r="H25" i="1"/>
  <c r="F25" i="1"/>
  <c r="E25" i="1"/>
  <c r="E53" i="1" s="1"/>
  <c r="D25" i="1"/>
  <c r="D27" i="1" s="1"/>
  <c r="C25" i="1"/>
  <c r="C27" i="1" s="1"/>
  <c r="K24" i="1"/>
  <c r="K26" i="1" s="1"/>
  <c r="J24" i="1"/>
  <c r="J26" i="1" s="1"/>
  <c r="I24" i="1"/>
  <c r="I26" i="1" s="1"/>
  <c r="H24" i="1"/>
  <c r="H26" i="1" s="1"/>
  <c r="H47" i="1" s="1"/>
  <c r="F24" i="1"/>
  <c r="F26" i="1" s="1"/>
  <c r="F47" i="1" s="1"/>
  <c r="E24" i="1"/>
  <c r="E26" i="1" s="1"/>
  <c r="E47" i="1" s="1"/>
  <c r="D24" i="1"/>
  <c r="D26" i="1" s="1"/>
  <c r="C24" i="1"/>
  <c r="C26" i="1" s="1"/>
  <c r="V20" i="1"/>
  <c r="S20" i="1"/>
  <c r="P20" i="1"/>
  <c r="M20" i="1"/>
  <c r="V18" i="1"/>
  <c r="S18" i="1"/>
  <c r="P18" i="1"/>
  <c r="M18" i="1"/>
  <c r="K18" i="1"/>
  <c r="J18" i="1"/>
  <c r="I18" i="1"/>
  <c r="H18" i="1"/>
  <c r="F14" i="1"/>
  <c r="F18" i="1" s="1"/>
  <c r="E14" i="1"/>
  <c r="E18" i="1" s="1"/>
  <c r="D14" i="1"/>
  <c r="C14" i="1"/>
  <c r="V8" i="1"/>
  <c r="S8" i="1"/>
  <c r="P8" i="1"/>
  <c r="P21" i="1" s="1"/>
  <c r="M8" i="1"/>
  <c r="K8" i="1"/>
  <c r="K21" i="1" s="1"/>
  <c r="J8" i="1"/>
  <c r="J21" i="1" s="1"/>
  <c r="I8" i="1"/>
  <c r="I21" i="1" s="1"/>
  <c r="H8" i="1"/>
  <c r="H21" i="1" s="1"/>
  <c r="F8" i="1"/>
  <c r="F21" i="1" s="1"/>
  <c r="E8" i="1"/>
  <c r="E21" i="1" s="1"/>
  <c r="D8" i="1"/>
  <c r="D21" i="1" s="1"/>
  <c r="C8" i="1"/>
  <c r="C21" i="1" s="1"/>
  <c r="V7" i="1"/>
  <c r="V53" i="1" s="1"/>
  <c r="S7" i="1"/>
  <c r="S53" i="1" s="1"/>
  <c r="P7" i="1"/>
  <c r="P53" i="1" s="1"/>
  <c r="M7" i="1"/>
  <c r="M53" i="1" s="1"/>
  <c r="K7" i="1"/>
  <c r="J7" i="1"/>
  <c r="I7" i="1"/>
  <c r="H7" i="1"/>
  <c r="F7" i="1"/>
  <c r="E7" i="1"/>
  <c r="D7" i="1"/>
  <c r="C7" i="1"/>
  <c r="V6" i="1"/>
  <c r="S6" i="1"/>
  <c r="S19" i="1" s="1"/>
  <c r="P6" i="1"/>
  <c r="P19" i="1" s="1"/>
  <c r="M6" i="1"/>
  <c r="M19" i="1" s="1"/>
  <c r="K6" i="1"/>
  <c r="J6" i="1"/>
  <c r="I6" i="1"/>
  <c r="I19" i="1" s="1"/>
  <c r="H6" i="1"/>
  <c r="H19" i="1" s="1"/>
  <c r="E6" i="1"/>
  <c r="E19" i="1" s="1"/>
  <c r="P5" i="1"/>
  <c r="P40" i="1" s="1"/>
  <c r="V4" i="1"/>
  <c r="V5" i="1" s="1"/>
  <c r="V40" i="1" s="1"/>
  <c r="S4" i="1"/>
  <c r="S5" i="1" s="1"/>
  <c r="S40" i="1" s="1"/>
  <c r="P4" i="1"/>
  <c r="M4" i="1"/>
  <c r="M5" i="1" s="1"/>
  <c r="M40" i="1" s="1"/>
  <c r="K4" i="1"/>
  <c r="K5" i="1" s="1"/>
  <c r="K40" i="1" s="1"/>
  <c r="J4" i="1"/>
  <c r="J5" i="1" s="1"/>
  <c r="J40" i="1" s="1"/>
  <c r="I4" i="1"/>
  <c r="I5" i="1" s="1"/>
  <c r="I40" i="1" s="1"/>
  <c r="H4" i="1"/>
  <c r="H5" i="1" s="1"/>
  <c r="H40" i="1" s="1"/>
  <c r="M21" i="1" l="1"/>
  <c r="S21" i="1"/>
  <c r="S22" i="1" s="1"/>
  <c r="V19" i="1"/>
  <c r="F4" i="1"/>
  <c r="F5" i="1" s="1"/>
  <c r="F40" i="1" s="1"/>
  <c r="F49" i="1"/>
  <c r="J38" i="1"/>
  <c r="J42" i="1" s="1"/>
  <c r="Q60" i="1"/>
  <c r="F6" i="1"/>
  <c r="F19" i="1" s="1"/>
  <c r="F53" i="1"/>
  <c r="C53" i="1"/>
  <c r="V30" i="1"/>
  <c r="V52" i="1" s="1"/>
  <c r="E4" i="1"/>
  <c r="E5" i="1" s="1"/>
  <c r="E40" i="1" s="1"/>
  <c r="X30" i="1"/>
  <c r="P57" i="1"/>
  <c r="H53" i="1"/>
  <c r="E49" i="1"/>
  <c r="K38" i="1"/>
  <c r="K42" i="1" s="1"/>
  <c r="P22" i="1"/>
  <c r="P23" i="1" s="1"/>
  <c r="X33" i="1"/>
  <c r="I53" i="1"/>
  <c r="K53" i="1"/>
  <c r="E38" i="1"/>
  <c r="E42" i="1" s="1"/>
  <c r="O57" i="1"/>
  <c r="M57" i="1"/>
  <c r="V21" i="1"/>
  <c r="J53" i="1"/>
  <c r="M22" i="1"/>
  <c r="M48" i="1" s="1"/>
  <c r="M50" i="1" s="1"/>
  <c r="S47" i="1"/>
  <c r="J47" i="1"/>
  <c r="C47" i="1"/>
  <c r="C33" i="1"/>
  <c r="C57" i="1"/>
  <c r="C30" i="1"/>
  <c r="K57" i="1"/>
  <c r="K47" i="1"/>
  <c r="D33" i="1"/>
  <c r="D47" i="1"/>
  <c r="D30" i="1"/>
  <c r="D52" i="1" s="1"/>
  <c r="D57" i="1"/>
  <c r="J27" i="1"/>
  <c r="J57" i="1" s="1"/>
  <c r="J19" i="1"/>
  <c r="J22" i="1" s="1"/>
  <c r="M30" i="1"/>
  <c r="M33" i="1"/>
  <c r="V57" i="1"/>
  <c r="K19" i="1"/>
  <c r="K22" i="1" s="1"/>
  <c r="I47" i="1"/>
  <c r="I33" i="1"/>
  <c r="O33" i="1"/>
  <c r="O30" i="1"/>
  <c r="E22" i="1"/>
  <c r="I22" i="1"/>
  <c r="D53" i="1"/>
  <c r="H38" i="1"/>
  <c r="H42" i="1" s="1"/>
  <c r="C49" i="1"/>
  <c r="C6" i="1"/>
  <c r="C4" i="1"/>
  <c r="C5" i="1" s="1"/>
  <c r="C18" i="1"/>
  <c r="I38" i="1"/>
  <c r="I42" i="1" s="1"/>
  <c r="F22" i="1"/>
  <c r="K27" i="1"/>
  <c r="K33" i="1" s="1"/>
  <c r="X60" i="1"/>
  <c r="H22" i="1"/>
  <c r="D49" i="1"/>
  <c r="D6" i="1"/>
  <c r="D4" i="1"/>
  <c r="D5" i="1" s="1"/>
  <c r="D18" i="1"/>
  <c r="N60" i="1"/>
  <c r="F27" i="1"/>
  <c r="F33" i="1" s="1"/>
  <c r="R30" i="1"/>
  <c r="R33" i="1"/>
  <c r="H27" i="1"/>
  <c r="H57" i="1" s="1"/>
  <c r="S30" i="1"/>
  <c r="S33" i="1"/>
  <c r="I27" i="1"/>
  <c r="I30" i="1" s="1"/>
  <c r="U30" i="1"/>
  <c r="U33" i="1"/>
  <c r="P47" i="1"/>
  <c r="E27" i="1"/>
  <c r="E57" i="1" s="1"/>
  <c r="P30" i="1"/>
  <c r="P52" i="1" s="1"/>
  <c r="V22" i="1" l="1"/>
  <c r="V23" i="1" s="1"/>
  <c r="P48" i="1"/>
  <c r="P50" i="1" s="1"/>
  <c r="F38" i="1"/>
  <c r="F42" i="1" s="1"/>
  <c r="F57" i="1"/>
  <c r="F30" i="1"/>
  <c r="F52" i="1" s="1"/>
  <c r="E30" i="1"/>
  <c r="E31" i="1" s="1"/>
  <c r="E32" i="1" s="1"/>
  <c r="E59" i="1" s="1"/>
  <c r="E60" i="1" s="1"/>
  <c r="M23" i="1"/>
  <c r="I52" i="1"/>
  <c r="C52" i="1"/>
  <c r="J30" i="1"/>
  <c r="J31" i="1" s="1"/>
  <c r="J32" i="1" s="1"/>
  <c r="J59" i="1" s="1"/>
  <c r="J60" i="1" s="1"/>
  <c r="M31" i="1"/>
  <c r="M32" i="1" s="1"/>
  <c r="M59" i="1" s="1"/>
  <c r="M60" i="1" s="1"/>
  <c r="M61" i="1" s="1"/>
  <c r="D19" i="1"/>
  <c r="D22" i="1" s="1"/>
  <c r="D23" i="1" s="1"/>
  <c r="H30" i="1"/>
  <c r="K30" i="1"/>
  <c r="P31" i="1"/>
  <c r="P32" i="1" s="1"/>
  <c r="P34" i="1" s="1"/>
  <c r="P36" i="1" s="1"/>
  <c r="P38" i="1" s="1"/>
  <c r="H33" i="1"/>
  <c r="I48" i="1"/>
  <c r="I50" i="1" s="1"/>
  <c r="I31" i="1"/>
  <c r="I32" i="1" s="1"/>
  <c r="I59" i="1" s="1"/>
  <c r="I23" i="1"/>
  <c r="S52" i="1"/>
  <c r="C19" i="1"/>
  <c r="C22" i="1" s="1"/>
  <c r="E48" i="1"/>
  <c r="E50" i="1" s="1"/>
  <c r="E23" i="1"/>
  <c r="I57" i="1"/>
  <c r="I60" i="1" s="1"/>
  <c r="I61" i="1" s="1"/>
  <c r="D40" i="1"/>
  <c r="D38" i="1"/>
  <c r="M52" i="1"/>
  <c r="F48" i="1"/>
  <c r="F50" i="1" s="1"/>
  <c r="F31" i="1"/>
  <c r="F32" i="1" s="1"/>
  <c r="F59" i="1" s="1"/>
  <c r="F60" i="1" s="1"/>
  <c r="F61" i="1" s="1"/>
  <c r="F23" i="1"/>
  <c r="K23" i="1"/>
  <c r="K48" i="1"/>
  <c r="K50" i="1" s="1"/>
  <c r="K31" i="1"/>
  <c r="K32" i="1" s="1"/>
  <c r="K59" i="1" s="1"/>
  <c r="K60" i="1" s="1"/>
  <c r="K61" i="1" s="1"/>
  <c r="E33" i="1"/>
  <c r="J23" i="1"/>
  <c r="J48" i="1"/>
  <c r="J50" i="1" s="1"/>
  <c r="K52" i="1"/>
  <c r="J33" i="1"/>
  <c r="S48" i="1"/>
  <c r="S50" i="1" s="1"/>
  <c r="S31" i="1"/>
  <c r="S32" i="1" s="1"/>
  <c r="S23" i="1"/>
  <c r="H48" i="1"/>
  <c r="H50" i="1" s="1"/>
  <c r="H31" i="1"/>
  <c r="H32" i="1" s="1"/>
  <c r="H59" i="1" s="1"/>
  <c r="H60" i="1" s="1"/>
  <c r="H23" i="1"/>
  <c r="C40" i="1"/>
  <c r="C38" i="1"/>
  <c r="V31" i="1" l="1"/>
  <c r="V32" i="1" s="1"/>
  <c r="V59" i="1" s="1"/>
  <c r="V60" i="1" s="1"/>
  <c r="V61" i="1" s="1"/>
  <c r="V48" i="1"/>
  <c r="V50" i="1" s="1"/>
  <c r="R59" i="1"/>
  <c r="R60" i="1" s="1"/>
  <c r="O59" i="1"/>
  <c r="O60" i="1" s="1"/>
  <c r="D48" i="1"/>
  <c r="D50" i="1" s="1"/>
  <c r="D31" i="1"/>
  <c r="D32" i="1" s="1"/>
  <c r="D59" i="1" s="1"/>
  <c r="D60" i="1" s="1"/>
  <c r="D61" i="1" s="1"/>
  <c r="P59" i="1"/>
  <c r="P60" i="1" s="1"/>
  <c r="P61" i="1" s="1"/>
  <c r="J52" i="1"/>
  <c r="H52" i="1"/>
  <c r="C42" i="1"/>
  <c r="H61" i="1"/>
  <c r="M34" i="1"/>
  <c r="M36" i="1" s="1"/>
  <c r="M38" i="1" s="1"/>
  <c r="M42" i="1" s="1"/>
  <c r="E52" i="1"/>
  <c r="D34" i="1"/>
  <c r="D42" i="1"/>
  <c r="P42" i="1"/>
  <c r="F34" i="1"/>
  <c r="J61" i="1"/>
  <c r="C23" i="1"/>
  <c r="C31" i="1"/>
  <c r="C32" i="1" s="1"/>
  <c r="C48" i="1"/>
  <c r="C50" i="1" s="1"/>
  <c r="U59" i="1"/>
  <c r="U60" i="1" s="1"/>
  <c r="S59" i="1"/>
  <c r="S60" i="1" s="1"/>
  <c r="S61" i="1" s="1"/>
  <c r="E34" i="1"/>
  <c r="E61" i="1"/>
  <c r="S34" i="1"/>
  <c r="S36" i="1" s="1"/>
  <c r="S38" i="1" s="1"/>
  <c r="V34" i="1" l="1"/>
  <c r="V36" i="1" s="1"/>
  <c r="V38" i="1" s="1"/>
  <c r="V42" i="1"/>
  <c r="S42" i="1"/>
  <c r="C59" i="1"/>
  <c r="C60" i="1" s="1"/>
  <c r="C61" i="1" s="1"/>
  <c r="C34" i="1"/>
</calcChain>
</file>

<file path=xl/sharedStrings.xml><?xml version="1.0" encoding="utf-8"?>
<sst xmlns="http://schemas.openxmlformats.org/spreadsheetml/2006/main" count="152" uniqueCount="126">
  <si>
    <t>Categories--&gt;</t>
  </si>
  <si>
    <t>Refrigerator (Cat. 1)</t>
  </si>
  <si>
    <t>Freezer (Cat. 8)</t>
  </si>
  <si>
    <t>Fridge-freezer (Cat. 7, Vr/Vf=0.73/0.27)</t>
  </si>
  <si>
    <t>Symbol</t>
  </si>
  <si>
    <t>Parameters (unit)</t>
  </si>
  <si>
    <t>V</t>
  </si>
  <si>
    <t>refrigerated volume (m³)</t>
  </si>
  <si>
    <t>refrigerated volume ( litres dm³)</t>
  </si>
  <si>
    <t>A</t>
  </si>
  <si>
    <t>refrigerator envelope surface (m²)</t>
  </si>
  <si>
    <r>
      <t>A</t>
    </r>
    <r>
      <rPr>
        <b/>
        <i/>
        <vertAlign val="subscript"/>
        <sz val="9"/>
        <color theme="1"/>
        <rFont val="Calibri"/>
        <family val="2"/>
        <scheme val="minor"/>
      </rPr>
      <t>cd</t>
    </r>
  </si>
  <si>
    <t>condenser area (m²)</t>
  </si>
  <si>
    <r>
      <t>L</t>
    </r>
    <r>
      <rPr>
        <b/>
        <i/>
        <vertAlign val="subscript"/>
        <sz val="9"/>
        <color theme="1"/>
        <rFont val="Calibri"/>
        <family val="2"/>
        <scheme val="minor"/>
      </rPr>
      <t>dr</t>
    </r>
  </si>
  <si>
    <t>door perimeter length (m)</t>
  </si>
  <si>
    <t>w</t>
  </si>
  <si>
    <t>width (m)</t>
  </si>
  <si>
    <t>d</t>
  </si>
  <si>
    <t>depth (m)</t>
  </si>
  <si>
    <t>h</t>
  </si>
  <si>
    <t>height (m)</t>
  </si>
  <si>
    <t>a</t>
  </si>
  <si>
    <t>air passage height below unit (m)</t>
  </si>
  <si>
    <t>b</t>
  </si>
  <si>
    <t>height &amp; depth compressor area (m)</t>
  </si>
  <si>
    <t>t</t>
  </si>
  <si>
    <t>average wall thickness (m)</t>
  </si>
  <si>
    <r>
      <t>T</t>
    </r>
    <r>
      <rPr>
        <b/>
        <i/>
        <vertAlign val="subscript"/>
        <sz val="9"/>
        <color rgb="FF000000"/>
        <rFont val="Calibri"/>
        <family val="2"/>
        <scheme val="minor"/>
      </rPr>
      <t>c</t>
    </r>
  </si>
  <si>
    <t>compartment temperature (°C)</t>
  </si>
  <si>
    <r>
      <t>T</t>
    </r>
    <r>
      <rPr>
        <b/>
        <i/>
        <vertAlign val="subscript"/>
        <sz val="9"/>
        <color rgb="FF000000"/>
        <rFont val="Calibri"/>
        <family val="2"/>
        <scheme val="minor"/>
      </rPr>
      <t>a</t>
    </r>
  </si>
  <si>
    <t>ambient temperature (°C)</t>
  </si>
  <si>
    <t>k</t>
  </si>
  <si>
    <t>heat conductivity (W/mK)</t>
  </si>
  <si>
    <r>
      <t>U</t>
    </r>
    <r>
      <rPr>
        <b/>
        <i/>
        <vertAlign val="subscript"/>
        <sz val="9"/>
        <color rgb="FF000000"/>
        <rFont val="Calibri"/>
        <family val="2"/>
        <scheme val="minor"/>
      </rPr>
      <t>wall</t>
    </r>
  </si>
  <si>
    <t>heat transfer coefficient wall (W/m²K)</t>
  </si>
  <si>
    <r>
      <t>P</t>
    </r>
    <r>
      <rPr>
        <b/>
        <i/>
        <vertAlign val="subscript"/>
        <sz val="9"/>
        <color rgb="FF000000"/>
        <rFont val="Calibri"/>
        <family val="2"/>
        <scheme val="minor"/>
      </rPr>
      <t>trans</t>
    </r>
  </si>
  <si>
    <t>transmission heat loss (W)</t>
  </si>
  <si>
    <r>
      <t>U</t>
    </r>
    <r>
      <rPr>
        <b/>
        <i/>
        <vertAlign val="subscript"/>
        <sz val="9"/>
        <color rgb="FF000000"/>
        <rFont val="Calibri"/>
        <family val="2"/>
        <scheme val="minor"/>
      </rPr>
      <t>door</t>
    </r>
  </si>
  <si>
    <t>heat transfer coefficient door gasket (W/mK)</t>
  </si>
  <si>
    <r>
      <t>P</t>
    </r>
    <r>
      <rPr>
        <b/>
        <i/>
        <vertAlign val="subscript"/>
        <sz val="9"/>
        <color rgb="FF000000"/>
        <rFont val="Calibri"/>
        <family val="2"/>
        <scheme val="minor"/>
      </rPr>
      <t>door</t>
    </r>
  </si>
  <si>
    <r>
      <t xml:space="preserve">door heat loss </t>
    </r>
    <r>
      <rPr>
        <i/>
        <sz val="9"/>
        <color rgb="FF000000"/>
        <rFont val="Calibri"/>
        <family val="2"/>
        <scheme val="minor"/>
      </rPr>
      <t>L</t>
    </r>
    <r>
      <rPr>
        <i/>
        <vertAlign val="subscript"/>
        <sz val="9"/>
        <color rgb="FF000000"/>
        <rFont val="Calibri"/>
        <family val="2"/>
        <scheme val="minor"/>
      </rPr>
      <t>dr</t>
    </r>
    <r>
      <rPr>
        <i/>
        <sz val="9"/>
        <color rgb="FF000000"/>
        <rFont val="Calibri"/>
        <family val="2"/>
        <scheme val="minor"/>
      </rPr>
      <t>*U</t>
    </r>
    <r>
      <rPr>
        <i/>
        <vertAlign val="subscript"/>
        <sz val="9"/>
        <color rgb="FF000000"/>
        <rFont val="Calibri"/>
        <family val="2"/>
        <scheme val="minor"/>
      </rPr>
      <t>door</t>
    </r>
    <r>
      <rPr>
        <sz val="9"/>
        <color rgb="FF000000"/>
        <rFont val="Calibri"/>
        <family val="2"/>
        <scheme val="minor"/>
      </rPr>
      <t xml:space="preserve"> (W)</t>
    </r>
  </si>
  <si>
    <r>
      <t>P</t>
    </r>
    <r>
      <rPr>
        <b/>
        <i/>
        <vertAlign val="subscript"/>
        <sz val="9"/>
        <color rgb="FF000000"/>
        <rFont val="Calibri"/>
        <family val="2"/>
        <scheme val="minor"/>
      </rPr>
      <t>loss_tot</t>
    </r>
  </si>
  <si>
    <r>
      <t xml:space="preserve">total heat power loss </t>
    </r>
    <r>
      <rPr>
        <i/>
        <sz val="9"/>
        <color rgb="FF000000"/>
        <rFont val="Calibri"/>
        <family val="2"/>
        <scheme val="minor"/>
      </rPr>
      <t>P</t>
    </r>
    <r>
      <rPr>
        <i/>
        <vertAlign val="subscript"/>
        <sz val="9"/>
        <color rgb="FF000000"/>
        <rFont val="Calibri"/>
        <family val="2"/>
        <scheme val="minor"/>
      </rPr>
      <t>trans</t>
    </r>
    <r>
      <rPr>
        <sz val="9"/>
        <color rgb="FF000000"/>
        <rFont val="Calibri"/>
        <family val="2"/>
        <scheme val="minor"/>
      </rPr>
      <t xml:space="preserve"> + </t>
    </r>
    <r>
      <rPr>
        <i/>
        <sz val="9"/>
        <color rgb="FF000000"/>
        <rFont val="Calibri"/>
        <family val="2"/>
        <scheme val="minor"/>
      </rPr>
      <t>P</t>
    </r>
    <r>
      <rPr>
        <i/>
        <vertAlign val="subscript"/>
        <sz val="9"/>
        <color rgb="FF000000"/>
        <rFont val="Calibri"/>
        <family val="2"/>
        <scheme val="minor"/>
      </rPr>
      <t>door</t>
    </r>
    <r>
      <rPr>
        <vertAlign val="subscript"/>
        <sz val="9"/>
        <color rgb="FF000000"/>
        <rFont val="Calibri"/>
        <family val="2"/>
        <scheme val="minor"/>
      </rPr>
      <t xml:space="preserve">  </t>
    </r>
    <r>
      <rPr>
        <sz val="9"/>
        <color rgb="FF000000"/>
        <rFont val="Calibri"/>
        <family val="2"/>
        <scheme val="minor"/>
      </rPr>
      <t>(W)</t>
    </r>
  </si>
  <si>
    <r>
      <t>E</t>
    </r>
    <r>
      <rPr>
        <b/>
        <i/>
        <vertAlign val="subscript"/>
        <sz val="9"/>
        <color rgb="FFFF0000"/>
        <rFont val="Calibri"/>
        <family val="2"/>
        <scheme val="minor"/>
      </rPr>
      <t>loss tot</t>
    </r>
  </si>
  <si>
    <r>
      <t xml:space="preserve">annual heat energy loss </t>
    </r>
    <r>
      <rPr>
        <sz val="9"/>
        <color rgb="FFFF0000"/>
        <rFont val="Calibri"/>
        <family val="2"/>
        <scheme val="minor"/>
      </rPr>
      <t>(kWh</t>
    </r>
    <r>
      <rPr>
        <vertAlign val="subscript"/>
        <sz val="9"/>
        <color rgb="FFFF0000"/>
        <rFont val="Calibri"/>
        <family val="2"/>
        <scheme val="minor"/>
      </rPr>
      <t>th</t>
    </r>
    <r>
      <rPr>
        <sz val="9"/>
        <color rgb="FFFF0000"/>
        <rFont val="Calibri"/>
        <family val="2"/>
        <scheme val="minor"/>
      </rPr>
      <t>/a)</t>
    </r>
  </si>
  <si>
    <r>
      <t>ΔT</t>
    </r>
    <r>
      <rPr>
        <b/>
        <i/>
        <vertAlign val="subscript"/>
        <sz val="9"/>
        <color rgb="FF000000"/>
        <rFont val="Calibri"/>
        <family val="2"/>
        <scheme val="minor"/>
      </rPr>
      <t>ev</t>
    </r>
  </si>
  <si>
    <t>evaporator temperature difference (K) [r/f]</t>
  </si>
  <si>
    <t>/</t>
  </si>
  <si>
    <r>
      <t>ΔT</t>
    </r>
    <r>
      <rPr>
        <b/>
        <i/>
        <vertAlign val="subscript"/>
        <sz val="9"/>
        <color rgb="FF000000"/>
        <rFont val="Calibri"/>
        <family val="2"/>
        <scheme val="minor"/>
      </rPr>
      <t>cd</t>
    </r>
  </si>
  <si>
    <t>condenser temperature difference K</t>
  </si>
  <si>
    <r>
      <t>T</t>
    </r>
    <r>
      <rPr>
        <b/>
        <i/>
        <vertAlign val="subscript"/>
        <sz val="9"/>
        <color rgb="FF000000"/>
        <rFont val="Calibri"/>
        <family val="2"/>
        <scheme val="minor"/>
      </rPr>
      <t>ev</t>
    </r>
  </si>
  <si>
    <t>evaporator temperature (°C)</t>
  </si>
  <si>
    <r>
      <t>T</t>
    </r>
    <r>
      <rPr>
        <b/>
        <i/>
        <vertAlign val="subscript"/>
        <sz val="9"/>
        <color rgb="FF000000"/>
        <rFont val="Calibri"/>
        <family val="2"/>
        <scheme val="minor"/>
      </rPr>
      <t>cd</t>
    </r>
  </si>
  <si>
    <t>condenser temperature °C</t>
  </si>
  <si>
    <r>
      <t>P</t>
    </r>
    <r>
      <rPr>
        <b/>
        <i/>
        <vertAlign val="subscript"/>
        <sz val="9"/>
        <color rgb="FF000000"/>
        <rFont val="Calibri"/>
        <family val="2"/>
        <scheme val="minor"/>
      </rPr>
      <t>nom</t>
    </r>
  </si>
  <si>
    <t>Nominal compressor cooling power (W)</t>
  </si>
  <si>
    <r>
      <t>COP</t>
    </r>
    <r>
      <rPr>
        <b/>
        <i/>
        <vertAlign val="subscript"/>
        <sz val="9"/>
        <color rgb="FF000000"/>
        <rFont val="Calibri"/>
        <family val="2"/>
        <scheme val="minor"/>
      </rPr>
      <t>nom</t>
    </r>
  </si>
  <si>
    <t>nominal at -23.3/54.4°C, sub-cooling 32.2°C</t>
  </si>
  <si>
    <t>P</t>
  </si>
  <si>
    <t>Cool power (W)</t>
  </si>
  <si>
    <t>Load factor</t>
  </si>
  <si>
    <t>Ratio of heat load to cool power</t>
  </si>
  <si>
    <t>Cycling loss</t>
  </si>
  <si>
    <t>Part load losses (in % COP)</t>
  </si>
  <si>
    <t>COP</t>
  </si>
  <si>
    <t>COP value with actual Tev and Tcd</t>
  </si>
  <si>
    <t>COPcyc</t>
  </si>
  <si>
    <t>avg. COP actual Tev and Tcd &amp; cycling loss</t>
  </si>
  <si>
    <t>Eaux</t>
  </si>
  <si>
    <t>electricity CPU and possible fan (kWhel/a)</t>
  </si>
  <si>
    <t>AE</t>
  </si>
  <si>
    <t>annual electricity consumption (kWhel/a)</t>
  </si>
  <si>
    <t xml:space="preserve">  MODEL at Ta=25 oC (kWh/litre)</t>
  </si>
  <si>
    <t>approximate equation q-Model (V in litre)</t>
  </si>
  <si>
    <t>70/V + 0.11</t>
  </si>
  <si>
    <t>106/V + 2.15*0.157</t>
  </si>
  <si>
    <t>176/V + 1.35*0.081</t>
  </si>
  <si>
    <t>q-A+</t>
  </si>
  <si>
    <t>A+level in kWh/litre REGULATION (Cat. 1)</t>
  </si>
  <si>
    <t>A+ equation</t>
  </si>
  <si>
    <t>103/V+0.098</t>
  </si>
  <si>
    <t>132/V+2.15*0.226</t>
  </si>
  <si>
    <t>127/V+(0.27*2.15+0.73)*0.326</t>
  </si>
  <si>
    <r>
      <t xml:space="preserve">difference </t>
    </r>
    <r>
      <rPr>
        <i/>
        <sz val="9"/>
        <color theme="1"/>
        <rFont val="Calibri"/>
        <family val="2"/>
        <scheme val="minor"/>
      </rPr>
      <t>q-model</t>
    </r>
    <r>
      <rPr>
        <sz val="9"/>
        <color theme="1"/>
        <rFont val="Calibri"/>
        <family val="2"/>
        <scheme val="minor"/>
      </rPr>
      <t xml:space="preserve"> vs </t>
    </r>
    <r>
      <rPr>
        <i/>
        <sz val="9"/>
        <color theme="1"/>
        <rFont val="Calibri"/>
        <family val="2"/>
        <scheme val="minor"/>
      </rPr>
      <t>q-A+</t>
    </r>
    <r>
      <rPr>
        <sz val="9"/>
        <color theme="1"/>
        <rFont val="Calibri"/>
        <family val="2"/>
        <scheme val="minor"/>
      </rPr>
      <t xml:space="preserve"> (%)</t>
    </r>
  </si>
  <si>
    <t>MODEL at Ta=25 oC Separate fridge+freez</t>
  </si>
  <si>
    <t>176/V+0.73*0.11+0.27*2.15*0.157=176/V+1.35*0.126</t>
  </si>
  <si>
    <t>Reality check for evaporator and condenser capacity</t>
  </si>
  <si>
    <t>Evaporator</t>
  </si>
  <si>
    <t>(probably roll-bond type, U-shape)</t>
  </si>
  <si>
    <t>h_evap</t>
  </si>
  <si>
    <t>W/m2.K</t>
  </si>
  <si>
    <t>Aevap</t>
  </si>
  <si>
    <t>m2</t>
  </si>
  <si>
    <t>Aevap back</t>
  </si>
  <si>
    <t>% ev</t>
  </si>
  <si>
    <t xml:space="preserve">Share of evap area / back wall in % </t>
  </si>
  <si>
    <t>Condenser</t>
  </si>
  <si>
    <t>calculated not with fin-tube</t>
  </si>
  <si>
    <t>Pcond required</t>
  </si>
  <si>
    <t>W</t>
  </si>
  <si>
    <t>Pcond max</t>
  </si>
  <si>
    <t>Comparison with calculation through Carnot efficiency</t>
  </si>
  <si>
    <r>
      <t>COP</t>
    </r>
    <r>
      <rPr>
        <b/>
        <i/>
        <vertAlign val="subscript"/>
        <sz val="9"/>
        <color rgb="FF000000"/>
        <rFont val="Calibri"/>
        <family val="2"/>
        <scheme val="minor"/>
      </rPr>
      <t>Carnot_nom</t>
    </r>
  </si>
  <si>
    <t>nominal Carnot at -23.3/54.4 °C</t>
  </si>
  <si>
    <r>
      <t>COP</t>
    </r>
    <r>
      <rPr>
        <b/>
        <i/>
        <vertAlign val="subscript"/>
        <sz val="9"/>
        <color rgb="FF000000"/>
        <rFont val="Calibri"/>
        <family val="2"/>
        <scheme val="minor"/>
      </rPr>
      <t>Carnot</t>
    </r>
  </si>
  <si>
    <r>
      <t xml:space="preserve">actual Carnot at </t>
    </r>
    <r>
      <rPr>
        <i/>
        <sz val="9"/>
        <color rgb="FF000000"/>
        <rFont val="Calibri"/>
        <family val="2"/>
        <scheme val="minor"/>
      </rPr>
      <t>T</t>
    </r>
    <r>
      <rPr>
        <i/>
        <vertAlign val="subscript"/>
        <sz val="9"/>
        <color rgb="FF000000"/>
        <rFont val="Calibri"/>
        <family val="2"/>
        <scheme val="minor"/>
      </rPr>
      <t>ev</t>
    </r>
    <r>
      <rPr>
        <sz val="9"/>
        <color rgb="FF000000"/>
        <rFont val="Calibri"/>
        <family val="2"/>
        <scheme val="minor"/>
      </rPr>
      <t xml:space="preserve"> and </t>
    </r>
    <r>
      <rPr>
        <i/>
        <sz val="9"/>
        <color rgb="FF000000"/>
        <rFont val="Calibri"/>
        <family val="2"/>
        <scheme val="minor"/>
      </rPr>
      <t>T</t>
    </r>
    <r>
      <rPr>
        <i/>
        <vertAlign val="subscript"/>
        <sz val="9"/>
        <color rgb="FF000000"/>
        <rFont val="Calibri"/>
        <family val="2"/>
        <scheme val="minor"/>
      </rPr>
      <t>cd</t>
    </r>
  </si>
  <si>
    <r>
      <t>η</t>
    </r>
    <r>
      <rPr>
        <b/>
        <i/>
        <vertAlign val="subscript"/>
        <sz val="9"/>
        <color rgb="FF000000"/>
        <rFont val="Calibri"/>
        <family val="2"/>
        <scheme val="minor"/>
      </rPr>
      <t>Carnot</t>
    </r>
  </si>
  <si>
    <r>
      <t>COP</t>
    </r>
    <r>
      <rPr>
        <i/>
        <vertAlign val="subscript"/>
        <sz val="9"/>
        <color rgb="FF000000"/>
        <rFont val="Calibri"/>
        <family val="2"/>
        <scheme val="minor"/>
      </rPr>
      <t>nom</t>
    </r>
    <r>
      <rPr>
        <i/>
        <sz val="9"/>
        <color rgb="FF000000"/>
        <rFont val="Calibri"/>
        <family val="2"/>
        <scheme val="minor"/>
      </rPr>
      <t>/COP</t>
    </r>
    <r>
      <rPr>
        <i/>
        <vertAlign val="subscript"/>
        <sz val="9"/>
        <color rgb="FF000000"/>
        <rFont val="Calibri"/>
        <family val="2"/>
        <scheme val="minor"/>
      </rPr>
      <t>Carnot_nom</t>
    </r>
  </si>
  <si>
    <r>
      <t>η</t>
    </r>
    <r>
      <rPr>
        <b/>
        <i/>
        <vertAlign val="subscript"/>
        <sz val="9"/>
        <color rgb="FF000000"/>
        <rFont val="Calibri"/>
        <family val="2"/>
        <scheme val="minor"/>
      </rPr>
      <t>ctrl</t>
    </r>
  </si>
  <si>
    <t>control efficiency (e.g. start-stop losses)</t>
  </si>
  <si>
    <r>
      <t>actual COP= COP</t>
    </r>
    <r>
      <rPr>
        <b/>
        <i/>
        <vertAlign val="subscript"/>
        <sz val="9"/>
        <color theme="4"/>
        <rFont val="Calibri"/>
        <family val="2"/>
        <scheme val="minor"/>
      </rPr>
      <t>carnot</t>
    </r>
    <r>
      <rPr>
        <b/>
        <i/>
        <sz val="9"/>
        <color theme="4"/>
        <rFont val="Calibri"/>
        <family val="2"/>
        <scheme val="minor"/>
      </rPr>
      <t>*η</t>
    </r>
    <r>
      <rPr>
        <b/>
        <i/>
        <vertAlign val="subscript"/>
        <sz val="9"/>
        <color theme="4"/>
        <rFont val="Calibri"/>
        <family val="2"/>
        <scheme val="minor"/>
      </rPr>
      <t>Carnot</t>
    </r>
    <r>
      <rPr>
        <b/>
        <i/>
        <sz val="9"/>
        <color theme="4"/>
        <rFont val="Calibri"/>
        <family val="2"/>
        <scheme val="minor"/>
      </rPr>
      <t>*η</t>
    </r>
    <r>
      <rPr>
        <b/>
        <i/>
        <vertAlign val="subscript"/>
        <sz val="9"/>
        <color theme="4"/>
        <rFont val="Calibri"/>
        <family val="2"/>
        <scheme val="minor"/>
      </rPr>
      <t>ctrl</t>
    </r>
  </si>
  <si>
    <t>difference with COPcyc calculated above</t>
  </si>
  <si>
    <t>y = c1 + c2*te + c3*tc + c4*te^2 + c5*te*tc + c6*tc^2 + c7*te^3 + c8*tc*te^2 + c9*te*tc^2 + c10*tc^3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</si>
  <si>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</si>
  <si>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</si>
  <si>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</si>
  <si>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</si>
  <si>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</si>
  <si>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</si>
  <si>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</si>
  <si>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</si>
  <si>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</si>
  <si>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</si>
  <si>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COP/COP_nom</t>
  </si>
  <si>
    <t>Pc/Pc_nom</t>
  </si>
  <si>
    <t>Table 19. Basic technical model of refrigeration appliances (VHK, Armines)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</si>
</sst>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"/>
    <numFmt numFmtId="166" formatCode="0.0"/>
    <numFmt numFmtId="167" formatCode="_-* #,##0.0_-;\-* #,##0.0_-;_-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vertAlign val="subscript"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vertAlign val="subscript"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vertAlign val="subscript"/>
      <sz val="9"/>
      <color rgb="FF000000"/>
      <name val="Calibri"/>
      <family val="2"/>
      <scheme val="minor"/>
    </font>
    <font>
      <vertAlign val="subscript"/>
      <sz val="9"/>
      <color rgb="FF00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vertAlign val="subscript"/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bscript"/>
      <sz val="9"/>
      <color rgb="FFFF0000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rgb="FF7030A0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rgb="FF7030A0"/>
      <name val="Calibri"/>
      <family val="2"/>
      <scheme val="minor"/>
    </font>
    <font>
      <b/>
      <u/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i/>
      <u/>
      <sz val="9"/>
      <color theme="1" tint="0.34998626667073579"/>
      <name val="Calibri"/>
      <family val="2"/>
      <scheme val="minor"/>
    </font>
    <font>
      <i/>
      <sz val="9"/>
      <color theme="4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b/>
      <i/>
      <sz val="9"/>
      <color theme="4"/>
      <name val="Calibri"/>
      <family val="2"/>
      <scheme val="minor"/>
    </font>
    <font>
      <b/>
      <i/>
      <vertAlign val="subscript"/>
      <sz val="9"/>
      <color theme="4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9"/>
      <color rgb="FF7030A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/>
    <xf numFmtId="165" fontId="3" fillId="0" borderId="1" xfId="0" applyNumberFormat="1" applyFont="1" applyBorder="1" applyAlignment="1">
      <alignment vertical="center"/>
    </xf>
    <xf numFmtId="165" fontId="3" fillId="0" borderId="0" xfId="0" applyNumberFormat="1" applyFont="1"/>
    <xf numFmtId="1" fontId="3" fillId="0" borderId="1" xfId="0" applyNumberFormat="1" applyFont="1" applyBorder="1"/>
    <xf numFmtId="0" fontId="3" fillId="0" borderId="0" xfId="0" applyFont="1" applyBorder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3" fillId="0" borderId="4" xfId="0" applyFont="1" applyBorder="1"/>
    <xf numFmtId="0" fontId="2" fillId="0" borderId="1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5" fontId="3" fillId="0" borderId="4" xfId="0" applyNumberFormat="1" applyFont="1" applyBorder="1"/>
    <xf numFmtId="165" fontId="3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166" fontId="3" fillId="0" borderId="2" xfId="0" applyNumberFormat="1" applyFont="1" applyBorder="1" applyAlignment="1"/>
    <xf numFmtId="1" fontId="3" fillId="0" borderId="4" xfId="0" applyNumberFormat="1" applyFont="1" applyBorder="1"/>
    <xf numFmtId="2" fontId="3" fillId="0" borderId="4" xfId="0" applyNumberFormat="1" applyFont="1" applyBorder="1" applyAlignment="1">
      <alignment horizontal="right" vertical="center"/>
    </xf>
    <xf numFmtId="2" fontId="3" fillId="0" borderId="0" xfId="0" applyNumberFormat="1" applyFont="1"/>
    <xf numFmtId="2" fontId="3" fillId="0" borderId="1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1" fontId="16" fillId="0" borderId="4" xfId="0" applyNumberFormat="1" applyFont="1" applyBorder="1"/>
    <xf numFmtId="1" fontId="16" fillId="0" borderId="1" xfId="0" applyNumberFormat="1" applyFont="1" applyBorder="1"/>
    <xf numFmtId="0" fontId="17" fillId="0" borderId="0" xfId="0" applyFont="1"/>
    <xf numFmtId="1" fontId="3" fillId="0" borderId="2" xfId="0" applyNumberFormat="1" applyFont="1" applyBorder="1"/>
    <xf numFmtId="1" fontId="3" fillId="0" borderId="3" xfId="0" applyNumberFormat="1" applyFont="1" applyBorder="1"/>
    <xf numFmtId="1" fontId="3" fillId="0" borderId="4" xfId="0" applyNumberFormat="1" applyFont="1" applyBorder="1" applyAlignment="1">
      <alignment horizontal="left"/>
    </xf>
    <xf numFmtId="1" fontId="3" fillId="0" borderId="8" xfId="0" applyNumberFormat="1" applyFont="1" applyBorder="1"/>
    <xf numFmtId="1" fontId="3" fillId="0" borderId="0" xfId="0" applyNumberFormat="1" applyFont="1" applyBorder="1"/>
    <xf numFmtId="1" fontId="3" fillId="0" borderId="9" xfId="0" applyNumberFormat="1" applyFont="1" applyBorder="1" applyAlignment="1">
      <alignment horizontal="left"/>
    </xf>
    <xf numFmtId="9" fontId="3" fillId="0" borderId="4" xfId="2" applyFont="1" applyBorder="1"/>
    <xf numFmtId="9" fontId="3" fillId="0" borderId="1" xfId="2" applyFont="1" applyBorder="1"/>
    <xf numFmtId="9" fontId="3" fillId="0" borderId="2" xfId="2" applyFont="1" applyBorder="1" applyAlignment="1"/>
    <xf numFmtId="166" fontId="19" fillId="0" borderId="1" xfId="0" applyNumberFormat="1" applyFont="1" applyBorder="1"/>
    <xf numFmtId="0" fontId="20" fillId="0" borderId="0" xfId="0" applyFont="1"/>
    <xf numFmtId="2" fontId="3" fillId="0" borderId="8" xfId="0" applyNumberFormat="1" applyFont="1" applyBorder="1"/>
    <xf numFmtId="2" fontId="3" fillId="0" borderId="0" xfId="0" applyNumberFormat="1" applyFont="1" applyBorder="1"/>
    <xf numFmtId="2" fontId="3" fillId="0" borderId="9" xfId="0" applyNumberFormat="1" applyFont="1" applyBorder="1" applyAlignment="1">
      <alignment horizontal="left"/>
    </xf>
    <xf numFmtId="166" fontId="3" fillId="0" borderId="4" xfId="0" applyNumberFormat="1" applyFont="1" applyBorder="1"/>
    <xf numFmtId="166" fontId="3" fillId="0" borderId="1" xfId="0" applyNumberFormat="1" applyFont="1" applyBorder="1"/>
    <xf numFmtId="166" fontId="3" fillId="0" borderId="0" xfId="0" applyNumberFormat="1" applyFont="1" applyBorder="1"/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" fontId="2" fillId="0" borderId="1" xfId="0" applyNumberFormat="1" applyFont="1" applyBorder="1"/>
    <xf numFmtId="0" fontId="2" fillId="0" borderId="0" xfId="0" applyFont="1"/>
    <xf numFmtId="0" fontId="9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" fontId="3" fillId="0" borderId="0" xfId="0" applyNumberFormat="1" applyFont="1"/>
    <xf numFmtId="1" fontId="22" fillId="0" borderId="0" xfId="0" applyNumberFormat="1" applyFont="1"/>
    <xf numFmtId="0" fontId="3" fillId="0" borderId="11" xfId="0" applyFont="1" applyBorder="1" applyAlignment="1">
      <alignment horizontal="center"/>
    </xf>
    <xf numFmtId="0" fontId="23" fillId="0" borderId="11" xfId="0" applyFont="1" applyBorder="1" applyAlignment="1">
      <alignment vertical="center"/>
    </xf>
    <xf numFmtId="2" fontId="3" fillId="0" borderId="4" xfId="0" applyNumberFormat="1" applyFont="1" applyBorder="1"/>
    <xf numFmtId="2" fontId="3" fillId="0" borderId="2" xfId="0" applyNumberFormat="1" applyFont="1" applyBorder="1" applyAlignment="1"/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0" fontId="5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2" fontId="3" fillId="0" borderId="7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9" fontId="3" fillId="0" borderId="1" xfId="2" applyFont="1" applyBorder="1" applyAlignment="1"/>
    <xf numFmtId="0" fontId="3" fillId="0" borderId="0" xfId="0" applyFont="1" applyBorder="1" applyAlignment="1"/>
    <xf numFmtId="9" fontId="3" fillId="0" borderId="0" xfId="0" applyNumberFormat="1" applyFont="1"/>
    <xf numFmtId="0" fontId="3" fillId="0" borderId="0" xfId="0" applyFont="1" applyAlignment="1">
      <alignment horizontal="center"/>
    </xf>
    <xf numFmtId="0" fontId="25" fillId="0" borderId="0" xfId="0" applyFont="1" applyBorder="1" applyAlignment="1"/>
    <xf numFmtId="2" fontId="17" fillId="0" borderId="0" xfId="0" applyNumberFormat="1" applyFont="1"/>
    <xf numFmtId="0" fontId="17" fillId="0" borderId="0" xfId="0" applyFont="1" applyBorder="1"/>
    <xf numFmtId="2" fontId="17" fillId="0" borderId="0" xfId="0" applyNumberFormat="1" applyFont="1" applyBorder="1"/>
    <xf numFmtId="2" fontId="26" fillId="0" borderId="0" xfId="0" applyNumberFormat="1" applyFont="1" applyBorder="1"/>
    <xf numFmtId="0" fontId="27" fillId="0" borderId="0" xfId="0" applyFont="1" applyBorder="1"/>
    <xf numFmtId="0" fontId="28" fillId="0" borderId="0" xfId="0" applyFont="1"/>
    <xf numFmtId="0" fontId="28" fillId="0" borderId="0" xfId="0" applyFont="1" applyBorder="1"/>
    <xf numFmtId="2" fontId="28" fillId="0" borderId="0" xfId="0" applyNumberFormat="1" applyFont="1" applyBorder="1"/>
    <xf numFmtId="9" fontId="3" fillId="0" borderId="0" xfId="2" applyFont="1" applyBorder="1"/>
    <xf numFmtId="167" fontId="3" fillId="0" borderId="0" xfId="1" applyNumberFormat="1" applyFont="1" applyBorder="1"/>
    <xf numFmtId="0" fontId="29" fillId="0" borderId="0" xfId="0" applyFont="1" applyBorder="1" applyAlignment="1">
      <alignment horizontal="center"/>
    </xf>
    <xf numFmtId="0" fontId="30" fillId="0" borderId="0" xfId="0" applyFont="1" applyBorder="1"/>
    <xf numFmtId="0" fontId="32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2" fontId="28" fillId="0" borderId="1" xfId="0" applyNumberFormat="1" applyFont="1" applyBorder="1"/>
    <xf numFmtId="2" fontId="3" fillId="0" borderId="0" xfId="0" applyNumberFormat="1" applyFont="1" applyBorder="1" applyAlignment="1"/>
    <xf numFmtId="9" fontId="28" fillId="0" borderId="1" xfId="2" applyFont="1" applyBorder="1"/>
    <xf numFmtId="2" fontId="30" fillId="0" borderId="0" xfId="0" applyNumberFormat="1" applyFont="1" applyBorder="1"/>
    <xf numFmtId="0" fontId="32" fillId="0" borderId="1" xfId="0" applyFont="1" applyFill="1" applyBorder="1" applyAlignment="1">
      <alignment horizontal="left" vertical="center"/>
    </xf>
    <xf numFmtId="0" fontId="28" fillId="0" borderId="1" xfId="0" applyFont="1" applyBorder="1"/>
    <xf numFmtId="1" fontId="28" fillId="0" borderId="1" xfId="0" applyNumberFormat="1" applyFont="1" applyBorder="1"/>
    <xf numFmtId="0" fontId="32" fillId="0" borderId="0" xfId="0" applyFont="1" applyFill="1" applyBorder="1" applyAlignment="1">
      <alignment horizontal="left" vertical="center"/>
    </xf>
    <xf numFmtId="1" fontId="28" fillId="0" borderId="0" xfId="0" applyNumberFormat="1" applyFont="1" applyBorder="1"/>
    <xf numFmtId="0" fontId="31" fillId="0" borderId="0" xfId="0" applyFont="1" applyAlignment="1">
      <alignment horizontal="left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166" fontId="19" fillId="0" borderId="4" xfId="0" applyNumberFormat="1" applyFont="1" applyBorder="1"/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9" fontId="19" fillId="0" borderId="0" xfId="2" applyFont="1" applyBorder="1"/>
    <xf numFmtId="166" fontId="19" fillId="0" borderId="0" xfId="0" applyNumberFormat="1" applyFont="1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20" fillId="0" borderId="0" xfId="0" applyFont="1" applyBorder="1"/>
    <xf numFmtId="0" fontId="35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166" fontId="19" fillId="0" borderId="0" xfId="0" applyNumberFormat="1" applyFont="1" applyFill="1" applyBorder="1"/>
    <xf numFmtId="0" fontId="20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7" fillId="0" borderId="0" xfId="0" applyFont="1" applyFill="1" applyBorder="1"/>
    <xf numFmtId="1" fontId="31" fillId="0" borderId="0" xfId="0" applyNumberFormat="1" applyFont="1" applyFill="1" applyBorder="1"/>
    <xf numFmtId="167" fontId="3" fillId="0" borderId="0" xfId="1" applyNumberFormat="1" applyFont="1" applyFill="1" applyBorder="1"/>
    <xf numFmtId="0" fontId="3" fillId="0" borderId="0" xfId="0" applyFont="1" applyFill="1" applyBorder="1" applyAlignment="1">
      <alignment horizontal="right"/>
    </xf>
    <xf numFmtId="2" fontId="26" fillId="0" borderId="0" xfId="0" applyNumberFormat="1" applyFont="1" applyFill="1" applyBorder="1"/>
    <xf numFmtId="2" fontId="3" fillId="0" borderId="0" xfId="0" applyNumberFormat="1" applyFont="1" applyFill="1" applyBorder="1"/>
    <xf numFmtId="0" fontId="26" fillId="0" borderId="0" xfId="0" applyFont="1" applyFill="1" applyBorder="1"/>
    <xf numFmtId="164" fontId="3" fillId="0" borderId="0" xfId="1" applyFont="1" applyFill="1" applyBorder="1"/>
    <xf numFmtId="9" fontId="3" fillId="0" borderId="0" xfId="2" applyFont="1" applyFill="1" applyBorder="1"/>
    <xf numFmtId="9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6" fillId="0" borderId="0" xfId="0" applyNumberFormat="1" applyFont="1" applyFill="1" applyBorder="1"/>
    <xf numFmtId="2" fontId="3" fillId="0" borderId="0" xfId="0" applyNumberFormat="1" applyFont="1" applyFill="1" applyBorder="1" applyAlignment="1"/>
    <xf numFmtId="164" fontId="23" fillId="0" borderId="0" xfId="0" applyNumberFormat="1" applyFont="1" applyFill="1" applyBorder="1"/>
    <xf numFmtId="164" fontId="17" fillId="0" borderId="0" xfId="0" applyNumberFormat="1" applyFont="1" applyFill="1" applyBorder="1"/>
    <xf numFmtId="2" fontId="17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quotePrefix="1" applyFont="1" applyFill="1" applyBorder="1"/>
    <xf numFmtId="2" fontId="23" fillId="0" borderId="2" xfId="0" applyNumberFormat="1" applyFont="1" applyBorder="1" applyAlignment="1">
      <alignment horizontal="center"/>
    </xf>
    <xf numFmtId="2" fontId="23" fillId="0" borderId="3" xfId="0" applyNumberFormat="1" applyFont="1" applyBorder="1" applyAlignment="1">
      <alignment horizontal="center"/>
    </xf>
    <xf numFmtId="2" fontId="2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9" fontId="3" fillId="0" borderId="2" xfId="2" applyFont="1" applyBorder="1" applyAlignment="1">
      <alignment horizontal="center"/>
    </xf>
    <xf numFmtId="9" fontId="3" fillId="0" borderId="3" xfId="2" applyFont="1" applyBorder="1" applyAlignment="1">
      <alignment horizontal="center"/>
    </xf>
    <xf numFmtId="9" fontId="3" fillId="0" borderId="4" xfId="2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" fontId="21" fillId="0" borderId="3" xfId="0" applyNumberFormat="1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y/AppData/Local/Temp/FINAL%20Legend5%2014%20November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 1"/>
      <sheetName val="Cat 1 corr"/>
      <sheetName val="Cat 8"/>
      <sheetName val="Cat 8 corr"/>
      <sheetName val="Cat 7"/>
      <sheetName val="Cat 7 corr"/>
      <sheetName val="Reg"/>
      <sheetName val="Comp ranges"/>
      <sheetName val="Regulation limits"/>
      <sheetName val="new limits"/>
      <sheetName val="refrigerator"/>
      <sheetName val="freezer"/>
      <sheetName val="fridge-freezer"/>
      <sheetName val="all at 25 corr"/>
      <sheetName val="all at 25"/>
      <sheetName val="BAT at 25"/>
      <sheetName val="BNAT at 25"/>
      <sheetName val="BI at 25"/>
      <sheetName val="door"/>
      <sheetName val="wine solid door"/>
      <sheetName val="wine glass door"/>
      <sheetName val="wine glass dr"/>
    </sheetNames>
    <sheetDataSet>
      <sheetData sheetId="0"/>
      <sheetData sheetId="1">
        <row r="25">
          <cell r="C25">
            <v>25</v>
          </cell>
          <cell r="D25">
            <v>19</v>
          </cell>
          <cell r="E25">
            <v>16</v>
          </cell>
          <cell r="F25">
            <v>14</v>
          </cell>
        </row>
        <row r="26">
          <cell r="C26">
            <v>21</v>
          </cell>
          <cell r="D26">
            <v>13</v>
          </cell>
          <cell r="E26">
            <v>10</v>
          </cell>
          <cell r="F26">
            <v>9</v>
          </cell>
        </row>
        <row r="53">
          <cell r="C53">
            <v>4.38</v>
          </cell>
          <cell r="D53">
            <v>4.38</v>
          </cell>
          <cell r="E53">
            <v>7.8622400146972264</v>
          </cell>
          <cell r="F53">
            <v>11.344480029394454</v>
          </cell>
        </row>
        <row r="55">
          <cell r="C55">
            <v>77.781513522781339</v>
          </cell>
          <cell r="D55">
            <v>82.921473010963567</v>
          </cell>
          <cell r="E55">
            <v>89.443320957935796</v>
          </cell>
          <cell r="F55">
            <v>106.09290708813495</v>
          </cell>
        </row>
      </sheetData>
      <sheetData sheetId="2"/>
      <sheetData sheetId="3">
        <row r="25">
          <cell r="C25">
            <v>12</v>
          </cell>
          <cell r="D25">
            <v>9</v>
          </cell>
          <cell r="E25">
            <v>8</v>
          </cell>
          <cell r="F25">
            <v>8</v>
          </cell>
        </row>
        <row r="26">
          <cell r="C26">
            <v>11</v>
          </cell>
          <cell r="D26">
            <v>9</v>
          </cell>
          <cell r="E26">
            <v>7</v>
          </cell>
          <cell r="F26">
            <v>6</v>
          </cell>
        </row>
        <row r="41">
          <cell r="C41">
            <v>1.5686903336812634</v>
          </cell>
          <cell r="D41">
            <v>1.7344622611716696</v>
          </cell>
          <cell r="E41">
            <v>1.9645700377361581</v>
          </cell>
          <cell r="F41">
            <v>2.1117777817283958</v>
          </cell>
        </row>
        <row r="53">
          <cell r="C53">
            <v>4.38</v>
          </cell>
          <cell r="D53">
            <v>4.38</v>
          </cell>
          <cell r="E53">
            <v>8.3981616127954446</v>
          </cell>
          <cell r="F53">
            <v>12.41632322559089</v>
          </cell>
        </row>
        <row r="55">
          <cell r="C55">
            <v>139.72191257606002</v>
          </cell>
          <cell r="D55">
            <v>141.37887585878207</v>
          </cell>
          <cell r="E55">
            <v>183.44375555211084</v>
          </cell>
          <cell r="F55">
            <v>199.24546946136823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C5">
            <v>42.139548104956262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tabSelected="1" topLeftCell="A10" zoomScaleNormal="100" workbookViewId="0">
      <selection activeCell="C65" sqref="C65"/>
    </sheetView>
  </sheetViews>
  <sheetFormatPr defaultColWidth="8.88671875" defaultRowHeight="12" x14ac:dyDescent="0.25"/>
  <cols>
    <col min="1" max="1" width="9.88671875" style="76" bestFit="1" customWidth="1"/>
    <col min="2" max="2" width="32.109375" style="1" bestFit="1" customWidth="1"/>
    <col min="3" max="3" width="4.6640625" style="1" customWidth="1"/>
    <col min="4" max="6" width="6" style="1" bestFit="1" customWidth="1"/>
    <col min="7" max="7" width="2.88671875" style="1" customWidth="1"/>
    <col min="8" max="8" width="5.21875" style="1" customWidth="1"/>
    <col min="9" max="9" width="4.77734375" style="1" customWidth="1"/>
    <col min="10" max="10" width="4.44140625" style="1" bestFit="1" customWidth="1"/>
    <col min="11" max="11" width="5" style="1" customWidth="1"/>
    <col min="12" max="12" width="2.44140625" style="1" customWidth="1"/>
    <col min="13" max="13" width="3.6640625" style="1" customWidth="1"/>
    <col min="14" max="14" width="1" style="1" customWidth="1"/>
    <col min="15" max="15" width="4.109375" style="1" customWidth="1"/>
    <col min="16" max="16" width="3.33203125" style="1" customWidth="1"/>
    <col min="17" max="17" width="1.109375" style="1" customWidth="1"/>
    <col min="18" max="19" width="3.77734375" style="1" customWidth="1"/>
    <col min="20" max="20" width="1.33203125" style="1" customWidth="1"/>
    <col min="21" max="21" width="5" style="1" customWidth="1"/>
    <col min="22" max="22" width="3.77734375" style="1" customWidth="1"/>
    <col min="23" max="23" width="1.33203125" style="1" customWidth="1"/>
    <col min="24" max="24" width="4.88671875" style="1" customWidth="1"/>
    <col min="25" max="16384" width="8.88671875" style="1"/>
  </cols>
  <sheetData>
    <row r="1" spans="1:25" x14ac:dyDescent="0.25">
      <c r="A1" s="174" t="s">
        <v>125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25" x14ac:dyDescent="0.25">
      <c r="A2" s="175" t="s">
        <v>0</v>
      </c>
      <c r="B2" s="175"/>
      <c r="C2" s="176" t="s">
        <v>1</v>
      </c>
      <c r="D2" s="176"/>
      <c r="E2" s="176"/>
      <c r="F2" s="176"/>
      <c r="H2" s="176" t="s">
        <v>2</v>
      </c>
      <c r="I2" s="176"/>
      <c r="J2" s="176"/>
      <c r="K2" s="176"/>
      <c r="M2" s="176" t="s">
        <v>3</v>
      </c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5" x14ac:dyDescent="0.25">
      <c r="A3" s="2" t="s">
        <v>4</v>
      </c>
      <c r="B3" s="2" t="s">
        <v>5</v>
      </c>
      <c r="C3" s="3">
        <v>1</v>
      </c>
      <c r="D3" s="3">
        <v>2</v>
      </c>
      <c r="E3" s="3">
        <v>3</v>
      </c>
      <c r="F3" s="3">
        <v>4</v>
      </c>
      <c r="H3" s="3">
        <v>1</v>
      </c>
      <c r="I3" s="3">
        <v>2</v>
      </c>
      <c r="J3" s="3">
        <v>3</v>
      </c>
      <c r="K3" s="3">
        <v>4</v>
      </c>
      <c r="M3" s="177">
        <v>1</v>
      </c>
      <c r="N3" s="178"/>
      <c r="O3" s="179"/>
      <c r="P3" s="177">
        <v>2</v>
      </c>
      <c r="Q3" s="178"/>
      <c r="R3" s="179"/>
      <c r="S3" s="177">
        <v>3</v>
      </c>
      <c r="T3" s="178"/>
      <c r="U3" s="179"/>
      <c r="V3" s="177">
        <v>4</v>
      </c>
      <c r="W3" s="178"/>
      <c r="X3" s="179"/>
    </row>
    <row r="4" spans="1:25" ht="18" customHeight="1" x14ac:dyDescent="0.25">
      <c r="A4" s="173" t="s">
        <v>6</v>
      </c>
      <c r="B4" s="4" t="s">
        <v>7</v>
      </c>
      <c r="C4" s="5">
        <f xml:space="preserve"> (C9-2*C14)*(C10-2*C14)*(C11-C12-2*C14)-C13^2*C9</f>
        <v>4.2139548104956265E-2</v>
      </c>
      <c r="D4" s="5">
        <f xml:space="preserve"> (D9-2*D14)*(D10-2*D14)*(D11-D12-2*D14)-D13^2*D9</f>
        <v>0.10668691545189504</v>
      </c>
      <c r="E4" s="5">
        <f xml:space="preserve"> (E9-2*E14)*(E10-2*E14)*(E11-E12-2*E14)-E13^2*E9</f>
        <v>0.18413134402332365</v>
      </c>
      <c r="F4" s="5">
        <f xml:space="preserve"> (F9-2*F14)*(F10-2*F14)*(F11-F12-2*F14)-F13^2*F9</f>
        <v>0.33148799999999995</v>
      </c>
      <c r="H4" s="5">
        <f xml:space="preserve"> (H9-2*H14)*(H10-2*H14)*(H11-H12-2*H14)-H13^2*H9</f>
        <v>8.2000000000000003E-2</v>
      </c>
      <c r="I4" s="5">
        <f xml:space="preserve"> (I9-2*I14)*(I10-2*I14)*(I11-I12-2*I14)-I13^2*I9</f>
        <v>0.11079300000000004</v>
      </c>
      <c r="J4" s="5">
        <f xml:space="preserve"> (J9-2*J14)*(J10-2*J14)*(J11-J12-2*J14)-J13^2*J9</f>
        <v>0.22581200000000001</v>
      </c>
      <c r="K4" s="5">
        <f xml:space="preserve"> (K9-2*K14)*(K10-2*K14)*(K11-K12-2*K14)-K13^2*K9</f>
        <v>0.35499599999999998</v>
      </c>
      <c r="M4" s="170">
        <f xml:space="preserve"> (M9-2*M14)*(M10-2*M14)*(M11-M12-2*M14)-M13^2*M9-(M9-2*M14)*(M10-2*M14)*M14</f>
        <v>0.16869600000000001</v>
      </c>
      <c r="N4" s="171"/>
      <c r="O4" s="172"/>
      <c r="P4" s="170">
        <f xml:space="preserve"> (P9-2*P14)*(P10-2*P14)*(P11-P12-2*P14)-P13^2*P9-(P9-2*P14)*(P10-2*P14)*P14</f>
        <v>0.19938199999999998</v>
      </c>
      <c r="Q4" s="171"/>
      <c r="R4" s="172"/>
      <c r="S4" s="170">
        <f xml:space="preserve"> (S9-2*S14)*(S10-2*S14)*(S11-S12-2*S14)-S13^2*S9-(S9-2*S14)*(S10-2*S14)*S14</f>
        <v>0.34418399999999993</v>
      </c>
      <c r="T4" s="171"/>
      <c r="U4" s="172"/>
      <c r="V4" s="170">
        <f xml:space="preserve"> (V9-2*V14)*(V10-2*V14)*(V11-V12-2*V14)-V13^2*V9-(V9-2*V14)*(V10-2*V14)*V14</f>
        <v>0.66059049999999986</v>
      </c>
      <c r="W4" s="171"/>
      <c r="X4" s="172"/>
      <c r="Y4" s="6"/>
    </row>
    <row r="5" spans="1:25" ht="15.6" customHeight="1" x14ac:dyDescent="0.25">
      <c r="A5" s="173"/>
      <c r="B5" s="4" t="s">
        <v>8</v>
      </c>
      <c r="C5" s="7">
        <f>1000*C4</f>
        <v>42.139548104956262</v>
      </c>
      <c r="D5" s="7">
        <f>1000*D4</f>
        <v>106.68691545189505</v>
      </c>
      <c r="E5" s="7">
        <f>1000*E4</f>
        <v>184.13134402332366</v>
      </c>
      <c r="F5" s="7">
        <f>1000*F4</f>
        <v>331.48799999999994</v>
      </c>
      <c r="H5" s="7">
        <f>1000*H4</f>
        <v>82</v>
      </c>
      <c r="I5" s="7">
        <f>1000*I4</f>
        <v>110.79300000000005</v>
      </c>
      <c r="J5" s="7">
        <f>1000*J4</f>
        <v>225.81200000000001</v>
      </c>
      <c r="K5" s="7">
        <f>1000*K4</f>
        <v>354.99599999999998</v>
      </c>
      <c r="M5" s="149">
        <f>1000*M4</f>
        <v>168.69600000000003</v>
      </c>
      <c r="N5" s="150"/>
      <c r="O5" s="151"/>
      <c r="P5" s="149">
        <f t="shared" ref="P5:V5" si="0">1000*P4</f>
        <v>199.38199999999998</v>
      </c>
      <c r="Q5" s="150"/>
      <c r="R5" s="151"/>
      <c r="S5" s="149">
        <f t="shared" si="0"/>
        <v>344.18399999999991</v>
      </c>
      <c r="T5" s="150"/>
      <c r="U5" s="151"/>
      <c r="V5" s="149">
        <f t="shared" si="0"/>
        <v>660.59049999999991</v>
      </c>
      <c r="W5" s="150"/>
      <c r="X5" s="151"/>
      <c r="Y5" s="6"/>
    </row>
    <row r="6" spans="1:25" x14ac:dyDescent="0.25">
      <c r="A6" s="9" t="s">
        <v>9</v>
      </c>
      <c r="B6" s="10" t="s">
        <v>10</v>
      </c>
      <c r="C6" s="11">
        <f xml:space="preserve"> 2 * ((C9-C14)*(C10-C14) + (C9-C14)*(C11-C12-C14)  + (C10-C14)*(C11-C12-C14)-(C13+0.5*C14)^2)</f>
        <v>1.0019581632653061</v>
      </c>
      <c r="D6" s="11">
        <f xml:space="preserve"> 2 * ((D9-D14)*(D10-D14) + (D9-D14)*(D11-D12-D14)  + (D10-D14)*(D11-D12-D14)-(D13+0.5*D14)^2)</f>
        <v>1.7170397959183674</v>
      </c>
      <c r="E6" s="11">
        <f xml:space="preserve"> 2 * ((E9-E14)*(E10-E14) + (E9-E14)*(E11-E12-E14)  + (E10-E14)*(E11-E12-E14)-(E13+0.5*E14)^2)</f>
        <v>2.5735091836734694</v>
      </c>
      <c r="F6" s="11">
        <f xml:space="preserve"> 2 * ((F9-F14)*(F10-F14) + (F9-F14)*(F11-F12-F14)  + (F10-F14)*(F11-F12-F14)-(F13+0.5*F14)^2)</f>
        <v>4.1613500000000005</v>
      </c>
      <c r="H6" s="5">
        <f xml:space="preserve"> 2 * ((H9-H14)*(H10-H14) + (H9-H14)*(H11-H12-H14)  + (H10-H14)*(H11-H12-H14)-(H13+0.5*H14)^2)</f>
        <v>1.7159375000000001</v>
      </c>
      <c r="I6" s="5">
        <f xml:space="preserve"> 2 * ((I9-I14)*(I10-I14) + (I9-I14)*(I11-I12-I14)  + (I10-I14)*(I11-I12-I14)-(I13+0.5*I14)^2)</f>
        <v>2.2535500000000002</v>
      </c>
      <c r="J6" s="5">
        <f xml:space="preserve"> 2 * ((J9-J14)*(J10-J14) + (J9-J14)*(J11-J12-J14)  + (J10-J14)*(J11-J12-J14)-(J13+0.5*J14)^2)</f>
        <v>3.95655</v>
      </c>
      <c r="K6" s="5">
        <f xml:space="preserve"> 2 * ((K9-K14)*(K10-K14) + (K9-K14)*(K11-K12-K14)  + (K10-K14)*(K11-K12-K14)-(K13+0.5*K14)^2)</f>
        <v>5.0151999999999992</v>
      </c>
      <c r="M6" s="170">
        <f xml:space="preserve"> 2 * ((M9-M14)*(M10-M14) + (M9-M14)*(M11-M12-M14)  + (M10-M14)*(M11-M12-M14)-(M13+0.5*M14)^2)+2*(M9-M14)*(M10-M14)</f>
        <v>3.0446875000000007</v>
      </c>
      <c r="N6" s="171"/>
      <c r="O6" s="172"/>
      <c r="P6" s="170">
        <f xml:space="preserve"> 2 * ((P9-P14)*(P10-P14) + (P9-P14)*(P11-P12-P14)  + (P10-P14)*(P11-P12-P14)-(P13+0.5*P14)^2)+2*(P9-P14)*(P10-P14)</f>
        <v>3.5196875000000003</v>
      </c>
      <c r="Q6" s="171"/>
      <c r="R6" s="172"/>
      <c r="S6" s="170">
        <f xml:space="preserve"> 2 * ((S9-S14)*(S10-S14) + (S9-S14)*(S11-S12-S14)  + (S10-S14)*(S11-S12-S14)-(S13+0.5*S14)^2)+2*(S9-S14)*(S10-S14)</f>
        <v>4.9987499999999994</v>
      </c>
      <c r="T6" s="171"/>
      <c r="U6" s="172"/>
      <c r="V6" s="170">
        <f xml:space="preserve"> 2 * ((V9-V14)*(V10-V14) + (V9-V14)*(V11-V12-V14)  + (V10-V14)*(V11-V12-V14)-(V13+0.5*V14)^2)+2*(V9-V14)*(V10-V14)</f>
        <v>7.4041874999999999</v>
      </c>
      <c r="W6" s="171"/>
      <c r="X6" s="172"/>
      <c r="Y6" s="6"/>
    </row>
    <row r="7" spans="1:25" ht="14.4" x14ac:dyDescent="0.25">
      <c r="A7" s="9" t="s">
        <v>11</v>
      </c>
      <c r="B7" s="10" t="s">
        <v>12</v>
      </c>
      <c r="C7" s="12">
        <f>C9*(C11-C12-C13)</f>
        <v>0.12150000000000001</v>
      </c>
      <c r="D7" s="12">
        <f>D9*(D11-D12-D13)</f>
        <v>0.28600000000000003</v>
      </c>
      <c r="E7" s="12">
        <f>E9*(E11-E12-E13)</f>
        <v>0.52249999999999996</v>
      </c>
      <c r="F7" s="12">
        <f>F9*(F11-F12-F13)</f>
        <v>0.97199999999999998</v>
      </c>
      <c r="H7" s="13">
        <f>H9*(H11-H12-H13)</f>
        <v>0.32999999999999996</v>
      </c>
      <c r="I7" s="13">
        <f>I9*(I11-I12-I13)</f>
        <v>0.52249999999999996</v>
      </c>
      <c r="J7" s="13">
        <f>J9*(J11-J12-J13)</f>
        <v>1.05</v>
      </c>
      <c r="K7" s="13">
        <f>K9*(K11-K12-K13)</f>
        <v>1.2950000000000002</v>
      </c>
      <c r="M7" s="170">
        <f>M9*(M11-M12-M13)</f>
        <v>0.52249999999999996</v>
      </c>
      <c r="N7" s="171"/>
      <c r="O7" s="172"/>
      <c r="P7" s="170">
        <f t="shared" ref="P7:V7" si="1">P9*(P11-P12-P13)</f>
        <v>0.6875</v>
      </c>
      <c r="Q7" s="171"/>
      <c r="R7" s="172"/>
      <c r="S7" s="170">
        <f t="shared" si="1"/>
        <v>1.05</v>
      </c>
      <c r="T7" s="171"/>
      <c r="U7" s="172"/>
      <c r="V7" s="170">
        <f t="shared" si="1"/>
        <v>1.44</v>
      </c>
      <c r="W7" s="171"/>
      <c r="X7" s="172"/>
      <c r="Y7" s="6"/>
    </row>
    <row r="8" spans="1:25" ht="14.4" x14ac:dyDescent="0.25">
      <c r="A8" s="9" t="s">
        <v>13</v>
      </c>
      <c r="B8" s="10" t="s">
        <v>14</v>
      </c>
      <c r="C8" s="14">
        <f>2*(C11-C12)+2*C9</f>
        <v>1.84</v>
      </c>
      <c r="D8" s="14">
        <f>2*(D11-D12)+2*D9</f>
        <v>2.54</v>
      </c>
      <c r="E8" s="14">
        <f>2*(E11-E12)+2*E9</f>
        <v>3.4</v>
      </c>
      <c r="F8" s="14">
        <f>2*(F11-F12)+2*F9</f>
        <v>4.84</v>
      </c>
      <c r="H8" s="4">
        <f>2*(H11-H12)+2*H9</f>
        <v>2.7</v>
      </c>
      <c r="I8" s="4">
        <f>2*(I11-I12)+2*I9</f>
        <v>3.4</v>
      </c>
      <c r="J8" s="4">
        <f>2*(J11-J12)+2*J9</f>
        <v>5.0999999999999996</v>
      </c>
      <c r="K8" s="4">
        <f>2*(K11-K12)+2*K9</f>
        <v>5.5</v>
      </c>
      <c r="L8" s="8"/>
      <c r="M8" s="161">
        <f>2*(M11-M12)+4*M9</f>
        <v>4.5</v>
      </c>
      <c r="N8" s="162"/>
      <c r="O8" s="163"/>
      <c r="P8" s="161">
        <f t="shared" ref="P8:V8" si="2">2*(P11-P12)+4*P9</f>
        <v>5.0999999999999996</v>
      </c>
      <c r="Q8" s="162"/>
      <c r="R8" s="163"/>
      <c r="S8" s="161">
        <f t="shared" si="2"/>
        <v>6.3</v>
      </c>
      <c r="T8" s="162"/>
      <c r="U8" s="163"/>
      <c r="V8" s="161">
        <f t="shared" si="2"/>
        <v>7.1999999999999993</v>
      </c>
      <c r="W8" s="162"/>
      <c r="X8" s="163"/>
      <c r="Y8" s="6"/>
    </row>
    <row r="9" spans="1:25" x14ac:dyDescent="0.25">
      <c r="A9" s="15" t="s">
        <v>15</v>
      </c>
      <c r="B9" s="10" t="s">
        <v>16</v>
      </c>
      <c r="C9" s="14">
        <v>0.45</v>
      </c>
      <c r="D9" s="4">
        <v>0.52</v>
      </c>
      <c r="E9" s="4">
        <v>0.55000000000000004</v>
      </c>
      <c r="F9" s="4">
        <v>0.6</v>
      </c>
      <c r="G9" s="16"/>
      <c r="H9" s="4">
        <v>0.55000000000000004</v>
      </c>
      <c r="I9" s="4">
        <v>0.55000000000000004</v>
      </c>
      <c r="J9" s="4">
        <v>0.6</v>
      </c>
      <c r="K9" s="4">
        <v>0.7</v>
      </c>
      <c r="L9" s="17"/>
      <c r="M9" s="164">
        <v>0.55000000000000004</v>
      </c>
      <c r="N9" s="165"/>
      <c r="O9" s="166"/>
      <c r="P9" s="164">
        <v>0.55000000000000004</v>
      </c>
      <c r="Q9" s="165"/>
      <c r="R9" s="166"/>
      <c r="S9" s="164">
        <v>0.6</v>
      </c>
      <c r="T9" s="165"/>
      <c r="U9" s="166"/>
      <c r="V9" s="164">
        <v>0.8</v>
      </c>
      <c r="W9" s="165"/>
      <c r="X9" s="166"/>
      <c r="Y9" s="6"/>
    </row>
    <row r="10" spans="1:25" x14ac:dyDescent="0.25">
      <c r="A10" s="18" t="s">
        <v>17</v>
      </c>
      <c r="B10" s="10" t="s">
        <v>18</v>
      </c>
      <c r="C10" s="14">
        <v>0.47</v>
      </c>
      <c r="D10" s="4">
        <v>0.52</v>
      </c>
      <c r="E10" s="4">
        <v>0.55000000000000004</v>
      </c>
      <c r="F10" s="4">
        <v>0.6</v>
      </c>
      <c r="G10" s="16"/>
      <c r="H10" s="4">
        <v>0.55000000000000004</v>
      </c>
      <c r="I10" s="4">
        <v>0.55000000000000004</v>
      </c>
      <c r="J10" s="4">
        <v>0.6</v>
      </c>
      <c r="K10" s="4">
        <v>0.7</v>
      </c>
      <c r="L10" s="17"/>
      <c r="M10" s="164">
        <v>0.55000000000000004</v>
      </c>
      <c r="N10" s="165"/>
      <c r="O10" s="166"/>
      <c r="P10" s="164">
        <v>0.55000000000000004</v>
      </c>
      <c r="Q10" s="165"/>
      <c r="R10" s="166"/>
      <c r="S10" s="164">
        <v>0.6</v>
      </c>
      <c r="T10" s="165"/>
      <c r="U10" s="166"/>
      <c r="V10" s="164">
        <v>0.8</v>
      </c>
      <c r="W10" s="165"/>
      <c r="X10" s="166"/>
      <c r="Y10" s="6"/>
    </row>
    <row r="11" spans="1:25" x14ac:dyDescent="0.25">
      <c r="A11" s="18" t="s">
        <v>19</v>
      </c>
      <c r="B11" s="10" t="s">
        <v>20</v>
      </c>
      <c r="C11" s="14">
        <v>0.52</v>
      </c>
      <c r="D11" s="4">
        <v>0.8</v>
      </c>
      <c r="E11" s="4">
        <v>1.2</v>
      </c>
      <c r="F11" s="4">
        <v>1.87</v>
      </c>
      <c r="G11" s="16"/>
      <c r="H11" s="4">
        <v>0.85</v>
      </c>
      <c r="I11" s="4">
        <v>1.2</v>
      </c>
      <c r="J11" s="4">
        <v>2</v>
      </c>
      <c r="K11" s="4">
        <v>2.1</v>
      </c>
      <c r="L11" s="17"/>
      <c r="M11" s="164">
        <v>1.2</v>
      </c>
      <c r="N11" s="165"/>
      <c r="O11" s="166"/>
      <c r="P11" s="164">
        <v>1.5</v>
      </c>
      <c r="Q11" s="165"/>
      <c r="R11" s="166"/>
      <c r="S11" s="164">
        <v>2</v>
      </c>
      <c r="T11" s="165"/>
      <c r="U11" s="166"/>
      <c r="V11" s="164">
        <v>2.0499999999999998</v>
      </c>
      <c r="W11" s="165"/>
      <c r="X11" s="166"/>
      <c r="Y11" s="6"/>
    </row>
    <row r="12" spans="1:25" x14ac:dyDescent="0.25">
      <c r="A12" s="18" t="s">
        <v>21</v>
      </c>
      <c r="B12" s="10" t="s">
        <v>22</v>
      </c>
      <c r="C12" s="14">
        <v>0.05</v>
      </c>
      <c r="D12" s="4">
        <v>0.05</v>
      </c>
      <c r="E12" s="4">
        <v>0.05</v>
      </c>
      <c r="F12" s="4">
        <v>0.05</v>
      </c>
      <c r="H12" s="4">
        <v>0.05</v>
      </c>
      <c r="I12" s="4">
        <v>0.05</v>
      </c>
      <c r="J12" s="4">
        <v>0.05</v>
      </c>
      <c r="K12" s="4">
        <v>0.05</v>
      </c>
      <c r="L12" s="8"/>
      <c r="M12" s="161">
        <v>0.05</v>
      </c>
      <c r="N12" s="162"/>
      <c r="O12" s="163"/>
      <c r="P12" s="161">
        <v>0.05</v>
      </c>
      <c r="Q12" s="162"/>
      <c r="R12" s="163"/>
      <c r="S12" s="161">
        <v>0.05</v>
      </c>
      <c r="T12" s="162"/>
      <c r="U12" s="163"/>
      <c r="V12" s="161">
        <v>0.05</v>
      </c>
      <c r="W12" s="162"/>
      <c r="X12" s="163"/>
      <c r="Y12" s="6"/>
    </row>
    <row r="13" spans="1:25" x14ac:dyDescent="0.25">
      <c r="A13" s="18" t="s">
        <v>23</v>
      </c>
      <c r="B13" s="10" t="s">
        <v>24</v>
      </c>
      <c r="C13" s="14">
        <v>0.2</v>
      </c>
      <c r="D13" s="4">
        <v>0.2</v>
      </c>
      <c r="E13" s="4">
        <v>0.2</v>
      </c>
      <c r="F13" s="4">
        <v>0.2</v>
      </c>
      <c r="H13" s="4">
        <v>0.2</v>
      </c>
      <c r="I13" s="4">
        <v>0.2</v>
      </c>
      <c r="J13" s="4">
        <v>0.2</v>
      </c>
      <c r="K13" s="4">
        <v>0.2</v>
      </c>
      <c r="M13" s="161">
        <v>0.2</v>
      </c>
      <c r="N13" s="162"/>
      <c r="O13" s="163"/>
      <c r="P13" s="161">
        <v>0.2</v>
      </c>
      <c r="Q13" s="162"/>
      <c r="R13" s="163"/>
      <c r="S13" s="161">
        <v>0.2</v>
      </c>
      <c r="T13" s="162"/>
      <c r="U13" s="163"/>
      <c r="V13" s="161">
        <v>0.2</v>
      </c>
      <c r="W13" s="162"/>
      <c r="X13" s="163"/>
      <c r="Y13" s="6"/>
    </row>
    <row r="14" spans="1:25" x14ac:dyDescent="0.25">
      <c r="A14" s="18" t="s">
        <v>25</v>
      </c>
      <c r="B14" s="10" t="s">
        <v>26</v>
      </c>
      <c r="C14" s="19">
        <f>0.01*(3+(4/350)*50)</f>
        <v>3.5714285714285712E-2</v>
      </c>
      <c r="D14" s="20">
        <f>0.01*(3+(4/350)*100)</f>
        <v>4.1428571428571426E-2</v>
      </c>
      <c r="E14" s="20">
        <f>0.01*(3+(4/350)*200)</f>
        <v>5.2857142857142859E-2</v>
      </c>
      <c r="F14" s="20">
        <f>0.01*(3+(4/350)*350)</f>
        <v>7.0000000000000007E-2</v>
      </c>
      <c r="H14" s="4">
        <v>7.4999999999999997E-2</v>
      </c>
      <c r="I14" s="4">
        <v>0.09</v>
      </c>
      <c r="J14" s="4">
        <v>0.11</v>
      </c>
      <c r="K14" s="4">
        <v>0.12</v>
      </c>
      <c r="M14" s="167">
        <v>5.5E-2</v>
      </c>
      <c r="N14" s="168"/>
      <c r="O14" s="169"/>
      <c r="P14" s="167">
        <v>6.5000000000000002E-2</v>
      </c>
      <c r="Q14" s="168"/>
      <c r="R14" s="169"/>
      <c r="S14" s="167">
        <v>7.0000000000000007E-2</v>
      </c>
      <c r="T14" s="168"/>
      <c r="U14" s="169"/>
      <c r="V14" s="167">
        <v>8.5000000000000006E-2</v>
      </c>
      <c r="W14" s="168"/>
      <c r="X14" s="169"/>
      <c r="Y14" s="6"/>
    </row>
    <row r="15" spans="1:25" ht="14.4" x14ac:dyDescent="0.25">
      <c r="A15" s="21" t="s">
        <v>27</v>
      </c>
      <c r="B15" s="10" t="s">
        <v>28</v>
      </c>
      <c r="C15" s="14">
        <v>5</v>
      </c>
      <c r="D15" s="4">
        <v>5</v>
      </c>
      <c r="E15" s="4">
        <v>5</v>
      </c>
      <c r="F15" s="4">
        <v>5</v>
      </c>
      <c r="H15" s="4">
        <v>-20</v>
      </c>
      <c r="I15" s="4">
        <v>-20</v>
      </c>
      <c r="J15" s="4">
        <v>-20</v>
      </c>
      <c r="K15" s="4">
        <v>-20</v>
      </c>
      <c r="M15" s="22">
        <v>-2.5</v>
      </c>
      <c r="N15" s="23"/>
      <c r="O15" s="24"/>
      <c r="P15" s="25">
        <v>-2.5</v>
      </c>
      <c r="Q15" s="23"/>
      <c r="R15" s="24"/>
      <c r="S15" s="22">
        <v>-2.5</v>
      </c>
      <c r="T15" s="23"/>
      <c r="U15" s="24"/>
      <c r="V15" s="22">
        <v>-2.5</v>
      </c>
      <c r="W15" s="23"/>
      <c r="X15" s="24"/>
      <c r="Y15" s="6"/>
    </row>
    <row r="16" spans="1:25" ht="14.4" x14ac:dyDescent="0.25">
      <c r="A16" s="21" t="s">
        <v>29</v>
      </c>
      <c r="B16" s="10" t="s">
        <v>30</v>
      </c>
      <c r="C16" s="26">
        <v>25</v>
      </c>
      <c r="D16" s="26">
        <v>25</v>
      </c>
      <c r="E16" s="26">
        <v>25</v>
      </c>
      <c r="F16" s="26">
        <v>25</v>
      </c>
      <c r="H16" s="7">
        <v>25</v>
      </c>
      <c r="I16" s="7">
        <v>25</v>
      </c>
      <c r="J16" s="7">
        <v>25</v>
      </c>
      <c r="K16" s="7">
        <v>25</v>
      </c>
      <c r="M16" s="149">
        <v>25</v>
      </c>
      <c r="N16" s="150"/>
      <c r="O16" s="151"/>
      <c r="P16" s="149">
        <v>25</v>
      </c>
      <c r="Q16" s="150"/>
      <c r="R16" s="151"/>
      <c r="S16" s="149">
        <v>25</v>
      </c>
      <c r="T16" s="150"/>
      <c r="U16" s="151"/>
      <c r="V16" s="149">
        <v>25</v>
      </c>
      <c r="W16" s="150"/>
      <c r="X16" s="151"/>
      <c r="Y16" s="6"/>
    </row>
    <row r="17" spans="1:25" x14ac:dyDescent="0.25">
      <c r="A17" s="21" t="s">
        <v>31</v>
      </c>
      <c r="B17" s="10" t="s">
        <v>32</v>
      </c>
      <c r="C17" s="27">
        <v>0.02</v>
      </c>
      <c r="D17" s="27">
        <v>0.02</v>
      </c>
      <c r="E17" s="27">
        <v>0.02</v>
      </c>
      <c r="F17" s="27">
        <v>0.02</v>
      </c>
      <c r="G17" s="28"/>
      <c r="H17" s="29">
        <v>0.02</v>
      </c>
      <c r="I17" s="29">
        <v>0.02</v>
      </c>
      <c r="J17" s="29">
        <v>0.02</v>
      </c>
      <c r="K17" s="29">
        <v>0.02</v>
      </c>
      <c r="L17" s="28"/>
      <c r="M17" s="164">
        <v>0.02</v>
      </c>
      <c r="N17" s="165"/>
      <c r="O17" s="166"/>
      <c r="P17" s="164">
        <v>0.02</v>
      </c>
      <c r="Q17" s="165"/>
      <c r="R17" s="166"/>
      <c r="S17" s="164">
        <v>0.02</v>
      </c>
      <c r="T17" s="165"/>
      <c r="U17" s="166"/>
      <c r="V17" s="164">
        <v>0.02</v>
      </c>
      <c r="W17" s="165"/>
      <c r="X17" s="166"/>
      <c r="Y17" s="6"/>
    </row>
    <row r="18" spans="1:25" ht="14.4" x14ac:dyDescent="0.25">
      <c r="A18" s="21" t="s">
        <v>33</v>
      </c>
      <c r="B18" s="10" t="s">
        <v>34</v>
      </c>
      <c r="C18" s="30">
        <f>C17/C14</f>
        <v>0.56000000000000005</v>
      </c>
      <c r="D18" s="30">
        <f>D17/D14</f>
        <v>0.48275862068965519</v>
      </c>
      <c r="E18" s="30">
        <f>E17/E14</f>
        <v>0.37837837837837834</v>
      </c>
      <c r="F18" s="30">
        <f>F17/F14</f>
        <v>0.2857142857142857</v>
      </c>
      <c r="H18" s="31">
        <f>H17/H14</f>
        <v>0.26666666666666666</v>
      </c>
      <c r="I18" s="31">
        <f>I17/I14</f>
        <v>0.22222222222222224</v>
      </c>
      <c r="J18" s="31">
        <f>J17/J14</f>
        <v>0.18181818181818182</v>
      </c>
      <c r="K18" s="31">
        <f>K17/K14</f>
        <v>0.16666666666666669</v>
      </c>
      <c r="M18" s="164">
        <f>M17/M14</f>
        <v>0.36363636363636365</v>
      </c>
      <c r="N18" s="165"/>
      <c r="O18" s="166"/>
      <c r="P18" s="164">
        <f t="shared" ref="P18:V18" si="3">P17/P14</f>
        <v>0.30769230769230771</v>
      </c>
      <c r="Q18" s="165"/>
      <c r="R18" s="166"/>
      <c r="S18" s="164">
        <f t="shared" si="3"/>
        <v>0.2857142857142857</v>
      </c>
      <c r="T18" s="165"/>
      <c r="U18" s="166"/>
      <c r="V18" s="164">
        <f t="shared" si="3"/>
        <v>0.23529411764705882</v>
      </c>
      <c r="W18" s="165"/>
      <c r="X18" s="166"/>
      <c r="Y18" s="6"/>
    </row>
    <row r="19" spans="1:25" ht="14.4" x14ac:dyDescent="0.25">
      <c r="A19" s="21" t="s">
        <v>35</v>
      </c>
      <c r="B19" s="10" t="s">
        <v>36</v>
      </c>
      <c r="C19" s="26">
        <f>C6*C18*(C16-C15)</f>
        <v>11.22193142857143</v>
      </c>
      <c r="D19" s="7">
        <f>D6*D18*(D16-D15)</f>
        <v>16.57831527093596</v>
      </c>
      <c r="E19" s="7">
        <f>E6*E18*(E16-E15)</f>
        <v>19.47520463320463</v>
      </c>
      <c r="F19" s="7">
        <f>F6*F18*(F16-F15)</f>
        <v>23.779142857142862</v>
      </c>
      <c r="H19" s="7">
        <f>H6*H18*(H16-H15)</f>
        <v>20.591249999999999</v>
      </c>
      <c r="I19" s="7">
        <f>I6*I18*(I16-I15)</f>
        <v>22.535500000000003</v>
      </c>
      <c r="J19" s="7">
        <f>J6*J18*(J16-J15)</f>
        <v>32.371772727272727</v>
      </c>
      <c r="K19" s="7">
        <f>K6*K18*(K16-K15)</f>
        <v>37.613999999999997</v>
      </c>
      <c r="M19" s="149">
        <f>M6*M18*(M16-M15)</f>
        <v>30.446875000000006</v>
      </c>
      <c r="N19" s="150"/>
      <c r="O19" s="151"/>
      <c r="P19" s="149">
        <f>P6*P18*(P16-P15)</f>
        <v>29.781971153846158</v>
      </c>
      <c r="Q19" s="150"/>
      <c r="R19" s="151"/>
      <c r="S19" s="149">
        <f>S6*S18*(S16-S15)</f>
        <v>39.27589285714285</v>
      </c>
      <c r="T19" s="150"/>
      <c r="U19" s="151"/>
      <c r="V19" s="149">
        <f>V6*V18*(V16-V15)</f>
        <v>47.909448529411762</v>
      </c>
      <c r="W19" s="150"/>
      <c r="X19" s="151"/>
      <c r="Y19" s="6"/>
    </row>
    <row r="20" spans="1:25" ht="14.4" x14ac:dyDescent="0.25">
      <c r="A20" s="21" t="s">
        <v>37</v>
      </c>
      <c r="B20" s="10" t="s">
        <v>38</v>
      </c>
      <c r="C20" s="14">
        <v>0.08</v>
      </c>
      <c r="D20" s="14">
        <v>0.08</v>
      </c>
      <c r="E20" s="14">
        <v>0.08</v>
      </c>
      <c r="F20" s="14">
        <v>0.08</v>
      </c>
      <c r="H20" s="4">
        <v>0.03</v>
      </c>
      <c r="I20" s="4">
        <v>0.03</v>
      </c>
      <c r="J20" s="4">
        <v>0.03</v>
      </c>
      <c r="K20" s="4">
        <v>0.03</v>
      </c>
      <c r="M20" s="143">
        <f>0.75*C20+0.25*H20</f>
        <v>6.7500000000000004E-2</v>
      </c>
      <c r="N20" s="144"/>
      <c r="O20" s="145"/>
      <c r="P20" s="161">
        <f>0.75*D20+0.25*I20</f>
        <v>6.7500000000000004E-2</v>
      </c>
      <c r="Q20" s="162"/>
      <c r="R20" s="163"/>
      <c r="S20" s="161">
        <f>0.75*E20+0.25*J20</f>
        <v>6.7500000000000004E-2</v>
      </c>
      <c r="T20" s="162"/>
      <c r="U20" s="163"/>
      <c r="V20" s="161">
        <f>0.75*F20+0.25*K20</f>
        <v>6.7500000000000004E-2</v>
      </c>
      <c r="W20" s="162"/>
      <c r="X20" s="163"/>
      <c r="Y20" s="6"/>
    </row>
    <row r="21" spans="1:25" ht="14.4" x14ac:dyDescent="0.25">
      <c r="A21" s="21" t="s">
        <v>39</v>
      </c>
      <c r="B21" s="10" t="s">
        <v>40</v>
      </c>
      <c r="C21" s="26">
        <f>C8*(C16-C15)*C20</f>
        <v>2.9440000000000004</v>
      </c>
      <c r="D21" s="7">
        <f>D8*(D16-D15)*D20</f>
        <v>4.0640000000000001</v>
      </c>
      <c r="E21" s="7">
        <f>E8*(E16-E15)*E20</f>
        <v>5.44</v>
      </c>
      <c r="F21" s="7">
        <f>F8*(F16-F15)*F20</f>
        <v>7.7439999999999998</v>
      </c>
      <c r="H21" s="7">
        <f>H8*(H16-H15)*H20</f>
        <v>3.6450000000000005</v>
      </c>
      <c r="I21" s="7">
        <f>I8*(I16-I15)*I20</f>
        <v>4.59</v>
      </c>
      <c r="J21" s="7">
        <f>J8*(J16-J15)*J20</f>
        <v>6.8849999999999989</v>
      </c>
      <c r="K21" s="7">
        <f>K8*(K16-K15)*K20</f>
        <v>7.4249999999999998</v>
      </c>
      <c r="M21" s="149">
        <f>M8*(M16-M15)*M20</f>
        <v>8.3531250000000004</v>
      </c>
      <c r="N21" s="150"/>
      <c r="O21" s="151"/>
      <c r="P21" s="149">
        <f>P8*(P16-P15)*P20</f>
        <v>9.4668749999999999</v>
      </c>
      <c r="Q21" s="150"/>
      <c r="R21" s="151"/>
      <c r="S21" s="149">
        <f>S8*(S16-S15)*S20</f>
        <v>11.694375000000001</v>
      </c>
      <c r="T21" s="150"/>
      <c r="U21" s="151"/>
      <c r="V21" s="149">
        <f>V8*(V16-V15)*V20</f>
        <v>13.364999999999998</v>
      </c>
      <c r="W21" s="150"/>
      <c r="X21" s="151"/>
      <c r="Y21" s="6"/>
    </row>
    <row r="22" spans="1:25" ht="14.4" x14ac:dyDescent="0.25">
      <c r="A22" s="21" t="s">
        <v>41</v>
      </c>
      <c r="B22" s="10" t="s">
        <v>42</v>
      </c>
      <c r="C22" s="26">
        <f>C21+C19</f>
        <v>14.165931428571431</v>
      </c>
      <c r="D22" s="7">
        <f>D21+D19</f>
        <v>20.64231527093596</v>
      </c>
      <c r="E22" s="7">
        <f>E21+E19</f>
        <v>24.915204633204631</v>
      </c>
      <c r="F22" s="7">
        <f>F21+F19</f>
        <v>31.523142857142862</v>
      </c>
      <c r="H22" s="7">
        <f>H21+H19</f>
        <v>24.236249999999998</v>
      </c>
      <c r="I22" s="7">
        <f>I21+I19</f>
        <v>27.125500000000002</v>
      </c>
      <c r="J22" s="7">
        <f>J21+J19</f>
        <v>39.256772727272725</v>
      </c>
      <c r="K22" s="7">
        <f>K21+K19</f>
        <v>45.038999999999994</v>
      </c>
      <c r="M22" s="149">
        <f>M21+M19</f>
        <v>38.800000000000004</v>
      </c>
      <c r="N22" s="150"/>
      <c r="O22" s="151"/>
      <c r="P22" s="149">
        <f>P21+P19</f>
        <v>39.248846153846159</v>
      </c>
      <c r="Q22" s="150"/>
      <c r="R22" s="151"/>
      <c r="S22" s="149">
        <f>S21+S19</f>
        <v>50.970267857142851</v>
      </c>
      <c r="T22" s="150"/>
      <c r="U22" s="151"/>
      <c r="V22" s="149">
        <f>V21+V19</f>
        <v>61.274448529411757</v>
      </c>
      <c r="W22" s="150"/>
      <c r="X22" s="151"/>
      <c r="Y22" s="6"/>
    </row>
    <row r="23" spans="1:25" ht="14.4" x14ac:dyDescent="0.25">
      <c r="A23" s="32" t="s">
        <v>43</v>
      </c>
      <c r="B23" s="33" t="s">
        <v>44</v>
      </c>
      <c r="C23" s="34">
        <f>0.001*365*24*C22</f>
        <v>124.09355931428574</v>
      </c>
      <c r="D23" s="35">
        <f>0.001*365*24*D22</f>
        <v>180.826681773399</v>
      </c>
      <c r="E23" s="35">
        <f>0.001*365*24*E22</f>
        <v>218.25719258687258</v>
      </c>
      <c r="F23" s="35">
        <f>0.001*365*24*F22</f>
        <v>276.14273142857144</v>
      </c>
      <c r="G23" s="36"/>
      <c r="H23" s="35">
        <f>0.001*365*24*H22</f>
        <v>212.30954999999997</v>
      </c>
      <c r="I23" s="35">
        <f>0.001*365*24*I22</f>
        <v>237.61938000000001</v>
      </c>
      <c r="J23" s="35">
        <f>0.001*365*24*J22</f>
        <v>343.88932909090909</v>
      </c>
      <c r="K23" s="35">
        <f>0.001*365*24*K22</f>
        <v>394.54163999999992</v>
      </c>
      <c r="L23" s="36"/>
      <c r="M23" s="158">
        <f>0.001*365*24*M22</f>
        <v>339.88800000000003</v>
      </c>
      <c r="N23" s="159"/>
      <c r="O23" s="160"/>
      <c r="P23" s="158">
        <f>0.001*365*24*P22</f>
        <v>343.81989230769233</v>
      </c>
      <c r="Q23" s="159"/>
      <c r="R23" s="160"/>
      <c r="S23" s="158">
        <f>0.001*365*24*S22</f>
        <v>446.49954642857136</v>
      </c>
      <c r="T23" s="159"/>
      <c r="U23" s="160"/>
      <c r="V23" s="158">
        <f>0.001*365*24*V22</f>
        <v>536.76416911764693</v>
      </c>
      <c r="W23" s="159"/>
      <c r="X23" s="160"/>
      <c r="Y23" s="6"/>
    </row>
    <row r="24" spans="1:25" ht="14.4" x14ac:dyDescent="0.25">
      <c r="A24" s="21" t="s">
        <v>45</v>
      </c>
      <c r="B24" s="10" t="s">
        <v>46</v>
      </c>
      <c r="C24" s="14">
        <f>'[1]Cat 1 corr'!C25</f>
        <v>25</v>
      </c>
      <c r="D24" s="14">
        <f>'[1]Cat 1 corr'!D25</f>
        <v>19</v>
      </c>
      <c r="E24" s="14">
        <f>'[1]Cat 1 corr'!E25</f>
        <v>16</v>
      </c>
      <c r="F24" s="14">
        <f>'[1]Cat 1 corr'!F25</f>
        <v>14</v>
      </c>
      <c r="H24" s="4">
        <f>'[1]Cat 8 corr'!C25</f>
        <v>12</v>
      </c>
      <c r="I24" s="4">
        <f>'[1]Cat 8 corr'!D25</f>
        <v>9</v>
      </c>
      <c r="J24" s="4">
        <f>'[1]Cat 8 corr'!E25</f>
        <v>8</v>
      </c>
      <c r="K24" s="4">
        <f>'[1]Cat 8 corr'!F25</f>
        <v>8</v>
      </c>
      <c r="M24" s="37">
        <v>22</v>
      </c>
      <c r="N24" s="38" t="s">
        <v>47</v>
      </c>
      <c r="O24" s="39">
        <v>10</v>
      </c>
      <c r="P24" s="37">
        <v>21</v>
      </c>
      <c r="Q24" s="38" t="s">
        <v>47</v>
      </c>
      <c r="R24" s="39">
        <v>10</v>
      </c>
      <c r="S24" s="37">
        <v>18</v>
      </c>
      <c r="T24" s="38" t="s">
        <v>47</v>
      </c>
      <c r="U24" s="39">
        <v>8</v>
      </c>
      <c r="V24" s="37">
        <v>16</v>
      </c>
      <c r="W24" s="38" t="s">
        <v>47</v>
      </c>
      <c r="X24" s="39">
        <v>6</v>
      </c>
      <c r="Y24" s="6"/>
    </row>
    <row r="25" spans="1:25" ht="14.4" x14ac:dyDescent="0.25">
      <c r="A25" s="21" t="s">
        <v>48</v>
      </c>
      <c r="B25" s="10" t="s">
        <v>49</v>
      </c>
      <c r="C25" s="14">
        <f>'[1]Cat 1 corr'!C26</f>
        <v>21</v>
      </c>
      <c r="D25" s="14">
        <f>'[1]Cat 1 corr'!D26</f>
        <v>13</v>
      </c>
      <c r="E25" s="14">
        <f>'[1]Cat 1 corr'!E26</f>
        <v>10</v>
      </c>
      <c r="F25" s="14">
        <f>'[1]Cat 1 corr'!F26</f>
        <v>9</v>
      </c>
      <c r="H25" s="4">
        <f>'[1]Cat 8 corr'!C26</f>
        <v>11</v>
      </c>
      <c r="I25" s="4">
        <f>'[1]Cat 8 corr'!D26</f>
        <v>9</v>
      </c>
      <c r="J25" s="4">
        <f>'[1]Cat 8 corr'!E26</f>
        <v>7</v>
      </c>
      <c r="K25" s="4">
        <f>'[1]Cat 8 corr'!F26</f>
        <v>6</v>
      </c>
      <c r="M25" s="37">
        <v>19</v>
      </c>
      <c r="N25" s="38" t="s">
        <v>47</v>
      </c>
      <c r="O25" s="39">
        <v>10</v>
      </c>
      <c r="P25" s="37">
        <v>17</v>
      </c>
      <c r="Q25" s="38" t="s">
        <v>47</v>
      </c>
      <c r="R25" s="39">
        <v>10</v>
      </c>
      <c r="S25" s="37">
        <v>14</v>
      </c>
      <c r="T25" s="38" t="s">
        <v>47</v>
      </c>
      <c r="U25" s="39">
        <v>10</v>
      </c>
      <c r="V25" s="37">
        <v>13</v>
      </c>
      <c r="W25" s="38" t="s">
        <v>47</v>
      </c>
      <c r="X25" s="39">
        <v>8</v>
      </c>
      <c r="Y25" s="6"/>
    </row>
    <row r="26" spans="1:25" ht="14.4" x14ac:dyDescent="0.25">
      <c r="A26" s="21" t="s">
        <v>50</v>
      </c>
      <c r="B26" s="10" t="s">
        <v>51</v>
      </c>
      <c r="C26" s="14">
        <f>C15-C24</f>
        <v>-20</v>
      </c>
      <c r="D26" s="14">
        <f>D15-D24</f>
        <v>-14</v>
      </c>
      <c r="E26" s="14">
        <f>E15-E24</f>
        <v>-11</v>
      </c>
      <c r="F26" s="14">
        <f>F15-F24</f>
        <v>-9</v>
      </c>
      <c r="H26" s="4">
        <f>H15-H24</f>
        <v>-32</v>
      </c>
      <c r="I26" s="4">
        <f>I15-I24</f>
        <v>-29</v>
      </c>
      <c r="J26" s="4">
        <f>J15-J24</f>
        <v>-28</v>
      </c>
      <c r="K26" s="4">
        <f>K15-K24</f>
        <v>-28</v>
      </c>
      <c r="M26" s="37">
        <f>5-M24</f>
        <v>-17</v>
      </c>
      <c r="N26" s="38" t="s">
        <v>47</v>
      </c>
      <c r="O26" s="39">
        <f>-20-O24</f>
        <v>-30</v>
      </c>
      <c r="P26" s="37">
        <f>5-P24</f>
        <v>-16</v>
      </c>
      <c r="Q26" s="38" t="s">
        <v>47</v>
      </c>
      <c r="R26" s="39">
        <f>-20-R24</f>
        <v>-30</v>
      </c>
      <c r="S26" s="37">
        <f>5-S24</f>
        <v>-13</v>
      </c>
      <c r="T26" s="38" t="s">
        <v>47</v>
      </c>
      <c r="U26" s="39">
        <f>-20-U24</f>
        <v>-28</v>
      </c>
      <c r="V26" s="37">
        <f>5-V24</f>
        <v>-11</v>
      </c>
      <c r="W26" s="38" t="s">
        <v>47</v>
      </c>
      <c r="X26" s="39">
        <f>-20-X24</f>
        <v>-26</v>
      </c>
      <c r="Y26" s="6"/>
    </row>
    <row r="27" spans="1:25" ht="14.4" x14ac:dyDescent="0.25">
      <c r="A27" s="21" t="s">
        <v>52</v>
      </c>
      <c r="B27" s="10" t="s">
        <v>53</v>
      </c>
      <c r="C27" s="26">
        <f>C16+C25</f>
        <v>46</v>
      </c>
      <c r="D27" s="7">
        <f>D16+D25</f>
        <v>38</v>
      </c>
      <c r="E27" s="7">
        <f>E16+E25</f>
        <v>35</v>
      </c>
      <c r="F27" s="7">
        <f>F16+F25</f>
        <v>34</v>
      </c>
      <c r="H27" s="7">
        <f>H16+H25</f>
        <v>36</v>
      </c>
      <c r="I27" s="7">
        <f>I16+I25</f>
        <v>34</v>
      </c>
      <c r="J27" s="7">
        <f>J16+J25</f>
        <v>32</v>
      </c>
      <c r="K27" s="7">
        <f>K16+K25</f>
        <v>31</v>
      </c>
      <c r="M27" s="40">
        <f>M16+M25</f>
        <v>44</v>
      </c>
      <c r="N27" s="41" t="s">
        <v>47</v>
      </c>
      <c r="O27" s="42">
        <f>M16+O25</f>
        <v>35</v>
      </c>
      <c r="P27" s="40">
        <f>P16+P25</f>
        <v>42</v>
      </c>
      <c r="Q27" s="41" t="s">
        <v>47</v>
      </c>
      <c r="R27" s="42">
        <f>P16+R25</f>
        <v>35</v>
      </c>
      <c r="S27" s="40">
        <f>S16+S25</f>
        <v>39</v>
      </c>
      <c r="T27" s="41" t="s">
        <v>47</v>
      </c>
      <c r="U27" s="42">
        <f>S16+U25</f>
        <v>35</v>
      </c>
      <c r="V27" s="40">
        <f>V16+V25</f>
        <v>38</v>
      </c>
      <c r="W27" s="41" t="s">
        <v>47</v>
      </c>
      <c r="X27" s="42">
        <f>V16+X25</f>
        <v>33</v>
      </c>
      <c r="Y27" s="6"/>
    </row>
    <row r="28" spans="1:25" ht="14.4" x14ac:dyDescent="0.25">
      <c r="A28" s="21" t="s">
        <v>54</v>
      </c>
      <c r="B28" s="10" t="s">
        <v>55</v>
      </c>
      <c r="C28" s="26">
        <v>45</v>
      </c>
      <c r="D28" s="26">
        <v>45</v>
      </c>
      <c r="E28" s="26">
        <v>45</v>
      </c>
      <c r="F28" s="26">
        <v>45</v>
      </c>
      <c r="H28" s="7">
        <v>80</v>
      </c>
      <c r="I28" s="7">
        <v>100</v>
      </c>
      <c r="J28" s="7">
        <v>120</v>
      </c>
      <c r="K28" s="7">
        <v>140</v>
      </c>
      <c r="M28" s="149">
        <v>100</v>
      </c>
      <c r="N28" s="150"/>
      <c r="O28" s="151"/>
      <c r="P28" s="149">
        <v>100</v>
      </c>
      <c r="Q28" s="150"/>
      <c r="R28" s="151"/>
      <c r="S28" s="149">
        <v>120</v>
      </c>
      <c r="T28" s="150"/>
      <c r="U28" s="151"/>
      <c r="V28" s="149">
        <v>120</v>
      </c>
      <c r="W28" s="150"/>
      <c r="X28" s="151"/>
      <c r="Y28" s="8"/>
    </row>
    <row r="29" spans="1:25" ht="13.2" customHeight="1" x14ac:dyDescent="0.25">
      <c r="A29" s="21" t="s">
        <v>56</v>
      </c>
      <c r="B29" s="10" t="s">
        <v>57</v>
      </c>
      <c r="C29" s="4">
        <v>1.7</v>
      </c>
      <c r="D29" s="4">
        <v>1.7</v>
      </c>
      <c r="E29" s="4">
        <v>1.7</v>
      </c>
      <c r="F29" s="4">
        <v>1.7</v>
      </c>
      <c r="H29" s="4">
        <v>1.7</v>
      </c>
      <c r="I29" s="4">
        <v>1.7</v>
      </c>
      <c r="J29" s="4">
        <v>1.8</v>
      </c>
      <c r="K29" s="4">
        <v>1.9</v>
      </c>
      <c r="M29" s="155">
        <v>1.7</v>
      </c>
      <c r="N29" s="156"/>
      <c r="O29" s="157"/>
      <c r="P29" s="155">
        <v>1.7</v>
      </c>
      <c r="Q29" s="156"/>
      <c r="R29" s="157"/>
      <c r="S29" s="155">
        <v>1.8</v>
      </c>
      <c r="T29" s="156"/>
      <c r="U29" s="157"/>
      <c r="V29" s="155">
        <v>1.8</v>
      </c>
      <c r="W29" s="156"/>
      <c r="X29" s="157"/>
      <c r="Y29" s="6"/>
    </row>
    <row r="30" spans="1:25" x14ac:dyDescent="0.25">
      <c r="A30" s="21" t="s">
        <v>58</v>
      </c>
      <c r="B30" s="10" t="s">
        <v>59</v>
      </c>
      <c r="C30" s="40">
        <f>C28*($B$107+$C$107*C26+$D$107*C27+$E$107*C26^2+$F$107*C26*C27+$G$107*C27^2+$H$107*C26^3+$I$107*C26^2*C27+$J$107*C26*C27^2+$K$107*C27^3)</f>
        <v>51.856980670987987</v>
      </c>
      <c r="D30" s="40">
        <f>D28*($B$107+$C$107*D26+$D$107*D27+$E$107*D26^2+$F$107*D26*D27+$G$107*D27^2+$H$107*D26^3+$I$107*D26^2*D27+$J$107*D26*D27^2+$K$107*D27^3)</f>
        <v>76.294364523738011</v>
      </c>
      <c r="E30" s="40">
        <f>E28*($B$107+$C$107*E26+$D$107*E27+$E$107*E26^2+$F$107*E26*E27+$G$107*E27^2+$H$107*E26^3+$I$107*E26^2*E27+$J$107*E26*E27^2+$K$107*E27^3)</f>
        <v>90.005039778699611</v>
      </c>
      <c r="F30" s="40">
        <f>F28*($B$107+$C$107*F26+$D$107*F27+$E$107*F26^2+$F$107*F26*F27+$G$107*F27^2+$H$107*F26^3+$I$107*F26^2*F27+$J$107*F26*F27^2+$K$107*F27^3)</f>
        <v>99.125394237285761</v>
      </c>
      <c r="H30" s="40">
        <f>H28*($B$107+$C$107*H26+$D$107*H27+$E$107*H26^2+$F$107*H26*H27+$G$107*H27^2+$H$107*H26^3+$I$107*H26^2*H27+$J$107*H26*H27^2+$K$107*H27^3)</f>
        <v>52.954883596269866</v>
      </c>
      <c r="I30" s="40">
        <f>I28*($B$107+$C$107*I26+$D$107*I27+$E$107*I26^2+$F$107*I26*I27+$G$107*I27^2+$H$107*I26^3+$I$107*I26^2*I27+$J$107*I26*I27^2+$K$107*I27^3)</f>
        <v>81.890057652922167</v>
      </c>
      <c r="J30" s="40">
        <f>J28*($B$107+$C$107*J26+$D$107*J27+$E$107*J26^2+$F$107*J26*J27+$G$107*J27^2+$H$107*J26^3+$I$107*J26^2*J27+$J$107*J26*J27^2+$K$107*J27^3)</f>
        <v>106.86413664580051</v>
      </c>
      <c r="K30" s="40">
        <f>K28*($B$107+$C$107*K26+$D$107*K27+$E$107*K26^2+$F$107*K26*K27+$G$107*K27^2+$H$107*K26^3+$I$107*K26^2*K27+$J$107*K26*K27^2+$K$107*K27^3)</f>
        <v>126.27457152475192</v>
      </c>
      <c r="M30" s="40">
        <f>M28*($B$107+$C$107*M26+$D$107*M27+$E$107*M26^2+$F$107*M26*M27+$G$107*M27^2+$H$107*M26^3+$I$107*M26^2*M27+$J$107*M26*M27^2+$K$107*M27^3)</f>
        <v>137.59729417235175</v>
      </c>
      <c r="N30" s="41" t="s">
        <v>47</v>
      </c>
      <c r="O30" s="42">
        <f>M28*($B$107+$C$107*O26+$D$107*O27+$E$107*O26^2+$F$107*O26*O27+$G$107*O27^2+$H$107*O26^3+$I$107*O26^2*O27+$J$107*O26*O27^2+$K$107*O27^3)</f>
        <v>76.097659006153151</v>
      </c>
      <c r="P30" s="40">
        <f>P28*($B$107+$C$107*P26+$D$107*P27+$E$107*P26^2+$F$107*P26*P27+$G$107*P27^2+$H$107*P26^3+$I$107*P26^2*P27+$J$107*P26*P27^2+$K$107*P27^3)</f>
        <v>147.80540439590223</v>
      </c>
      <c r="Q30" s="41" t="s">
        <v>47</v>
      </c>
      <c r="R30" s="42">
        <f>P28*($B$107+$C$107*R26+$D$107*R27+$E$107*R26^2+$F$107*R26*R27+$G$107*R27^2+$H$107*R26^3+$I$107*R26^2*R27+$J$107*R26*R27^2+$K$107*R27^3)</f>
        <v>76.097659006153151</v>
      </c>
      <c r="S30" s="40">
        <f>S28*($B$107+$C$107*S26+$D$107*S27+$E$107*S26^2+$F$107*S26*S27+$G$107*S27^2+$H$107*S26^3+$I$107*S26^2*S27+$J$107*S26*S27^2+$K$107*S27^3)</f>
        <v>210.87212877423784</v>
      </c>
      <c r="T30" s="41" t="s">
        <v>47</v>
      </c>
      <c r="U30" s="42">
        <f>S28*($B$107+$C$107*U26+$D$107*U27+$E$107*U26^2+$F$107*U26*U27+$G$107*U27^2+$H$107*U26^3+$I$107*U26^2*U27+$J$107*U26*U27^2+$K$107*U27^3)</f>
        <v>102.73213399842331</v>
      </c>
      <c r="V30" s="40">
        <f>V28*($B$107+$C$107*V26+$D$107*V27+$E$107*V26^2+$F$107*V26*V27+$G$107*V27^2+$H$107*V26^3+$I$107*V26^2*V27+$J$107*V26*V27^2+$K$107*V27^3)</f>
        <v>233.13459418391446</v>
      </c>
      <c r="W30" s="41" t="s">
        <v>47</v>
      </c>
      <c r="X30" s="42">
        <f>V28*($B$107+$C$107*X26+$D$107*X27+$E$107*X26^2+$F$107*X26*X27+$G$107*X27^2+$H$107*X26^3+$I$107*X26^2*X27+$J$107*X26*X27^2+$K$107*X27^3)</f>
        <v>117.90521699815761</v>
      </c>
      <c r="Y30" s="8"/>
    </row>
    <row r="31" spans="1:25" x14ac:dyDescent="0.25">
      <c r="A31" s="21" t="s">
        <v>60</v>
      </c>
      <c r="B31" s="10" t="s">
        <v>61</v>
      </c>
      <c r="C31" s="43">
        <f>C22/C30</f>
        <v>0.2731730857692749</v>
      </c>
      <c r="D31" s="43">
        <f>D22/D30</f>
        <v>0.27056146806902587</v>
      </c>
      <c r="E31" s="43">
        <f>E22/E30</f>
        <v>0.27682010579035382</v>
      </c>
      <c r="F31" s="43">
        <f>F22/F30</f>
        <v>0.31801278673034034</v>
      </c>
      <c r="H31" s="44">
        <f>H22/H30</f>
        <v>0.45767733500800661</v>
      </c>
      <c r="I31" s="44">
        <f>I22/I30</f>
        <v>0.33124289782487476</v>
      </c>
      <c r="J31" s="44">
        <f>J22/J30</f>
        <v>0.3673521722014999</v>
      </c>
      <c r="K31" s="44">
        <f>K22/K30</f>
        <v>0.35667513622227259</v>
      </c>
      <c r="M31" s="146">
        <f>0.5*M22/M30+0.5*M22/O30</f>
        <v>0.39592671362796683</v>
      </c>
      <c r="N31" s="147"/>
      <c r="O31" s="148"/>
      <c r="P31" s="146">
        <f>0.5*P22/P30+0.5*P22/R30</f>
        <v>0.39065674118305099</v>
      </c>
      <c r="Q31" s="147"/>
      <c r="R31" s="148"/>
      <c r="S31" s="146">
        <f>0.5*S22/S30+0.5*S22/U30</f>
        <v>0.36892950206085656</v>
      </c>
      <c r="T31" s="147"/>
      <c r="U31" s="148"/>
      <c r="V31" s="146">
        <f>0.5*V22/V30+0.5*V22/X30</f>
        <v>0.39126053457880694</v>
      </c>
      <c r="W31" s="147"/>
      <c r="X31" s="148"/>
      <c r="Y31" s="8"/>
    </row>
    <row r="32" spans="1:25" x14ac:dyDescent="0.25">
      <c r="A32" s="21" t="s">
        <v>62</v>
      </c>
      <c r="B32" s="10" t="s">
        <v>63</v>
      </c>
      <c r="C32" s="45">
        <f>0.125*(1-C31)</f>
        <v>9.0853364278840637E-2</v>
      </c>
      <c r="D32" s="45">
        <f>0.125*(1-D31)</f>
        <v>9.1179816491371773E-2</v>
      </c>
      <c r="E32" s="45">
        <f>0.125*(1-E31)</f>
        <v>9.0397486776205765E-2</v>
      </c>
      <c r="F32" s="45">
        <f>0.125*(1-F31)</f>
        <v>8.5248401658707451E-2</v>
      </c>
      <c r="H32" s="45">
        <f>0.125*(1-H31)</f>
        <v>6.779033312399918E-2</v>
      </c>
      <c r="I32" s="45">
        <f>0.125*(1-I31)</f>
        <v>8.3594637771890662E-2</v>
      </c>
      <c r="J32" s="45">
        <f>0.125*(1-J31)</f>
        <v>7.9080978474812519E-2</v>
      </c>
      <c r="K32" s="45">
        <f>0.125*(1-K31)</f>
        <v>8.0415607972215919E-2</v>
      </c>
      <c r="M32" s="146">
        <f>0.125*(1-M31)</f>
        <v>7.5509160796504146E-2</v>
      </c>
      <c r="N32" s="147"/>
      <c r="O32" s="148"/>
      <c r="P32" s="146">
        <f>0.125*(1-P31)</f>
        <v>7.6167907352118619E-2</v>
      </c>
      <c r="Q32" s="147"/>
      <c r="R32" s="148"/>
      <c r="S32" s="146">
        <f>0.125*(1-S31)</f>
        <v>7.8883812242392937E-2</v>
      </c>
      <c r="T32" s="147"/>
      <c r="U32" s="148"/>
      <c r="V32" s="146">
        <f>0.125*(1-V31)</f>
        <v>7.6092433177649133E-2</v>
      </c>
      <c r="W32" s="147"/>
      <c r="X32" s="148"/>
      <c r="Y32" s="8"/>
    </row>
    <row r="33" spans="1:25" x14ac:dyDescent="0.25">
      <c r="A33" s="21" t="s">
        <v>64</v>
      </c>
      <c r="B33" s="10" t="s">
        <v>65</v>
      </c>
      <c r="C33" s="46">
        <f>C29*($B$106+$C$106*C26+$D$106*C27+$E$106*C26^2+$F$106*C26*C27+$G$106*C27^2+$H$106*C26^3+$I$106*C26^2*C27+$J$106*C26*C27^2+$K$106*C27^3)</f>
        <v>1.8576932926263383</v>
      </c>
      <c r="D33" s="46">
        <f>D29*($B$106+$C$106*D26+$D$106*D27+$E$106*D26^2+$F$106*D26*D27+$G$106*D27^2+$H$106*D26^3+$I$106*D26^2*D27+$J$106*D26*D27^2+$K$106*D27^3)</f>
        <v>2.5332934919973864</v>
      </c>
      <c r="E33" s="46">
        <f>E29*($B$106+$C$106*E26+$D$106*E27+$E$106*E26^2+$F$106*E26*E27+$G$106*E27^2+$H$106*E26^3+$I$106*E26^2*E27+$J$106*E26*E27^2+$K$106*E27^3)</f>
        <v>2.9412196420149881</v>
      </c>
      <c r="F33" s="46">
        <f>F29*($B$106+$C$106*F26+$D$106*F27+$E$106*F26^2+$F$106*F26*F27+$G$106*F27^2+$H$106*F26^3+$I$106*F26^2*F27+$J$106*F26*F27^2+$K$106*F27^3)</f>
        <v>3.1860928679597151</v>
      </c>
      <c r="G33" s="47"/>
      <c r="H33" s="46">
        <f>H29*($B$106+$C$106*H26+$D$106*H27+$E$106*H26^2+$F$106*H26*H27+$G$106*H27^2+$H$106*H26^3+$I$106*H26^2*H27+$J$106*H26*H27^2+$K$106*H27^3)</f>
        <v>1.6558983397145077</v>
      </c>
      <c r="I33" s="46">
        <f>I29*($B$106+$C$106*I26+$D$106*I27+$E$106*I26^2+$F$106*I26*I27+$G$106*I27^2+$H$106*I26^3+$I$106*I26^2*I27+$J$106*I26*I27^2+$K$106*I27^3)</f>
        <v>1.8821610649363465</v>
      </c>
      <c r="J33" s="46">
        <f>J29*($B$106+$C$106*J26+$D$106*J27+$E$106*J26^2+$F$106*J26*J27+$G$106*J27^2+$H$106*J26^3+$I$106*J26^2*J27+$J$106*J26*J27^2+$K$106*J27^3)</f>
        <v>2.1382172795208509</v>
      </c>
      <c r="K33" s="46">
        <f>K29*($B$106+$C$106*K26+$D$106*K27+$E$106*K26^2+$F$106*K26*K27+$G$106*K27^2+$H$106*K26^3+$I$106*K26^2*K27+$J$106*K26*K27^2+$K$106*K27^3)</f>
        <v>2.307630529893792</v>
      </c>
      <c r="L33" s="47"/>
      <c r="M33" s="48">
        <f>M29*($B$106+$C$106*M26+$D$106*M27+$E$106*M26^2+$F$106*M26*M27+$G$106*M27^2+$H$106*M26^3+$I$106*M26^2*M27+$J$106*M26*M27^2+$K$106*M27^3)</f>
        <v>2.0757679958339392</v>
      </c>
      <c r="N33" s="49" t="s">
        <v>47</v>
      </c>
      <c r="O33" s="50">
        <f>M29*($B$106+$C$106*O26+$D$106*O27+$E$106*O26^2+$F$106*O26*O27+$G$106*O27^2+$H$106*O26^3+$I$106*O26^2*O27+$J$106*O26*O27^2+$K$106*O27^3)</f>
        <v>1.7922131003858279</v>
      </c>
      <c r="P33" s="48">
        <f>P29*($B$106+$C$106*P26+$D$106*P27+$E$106*P26^2+$F$106*P26*P27+$G$106*P27^2+$H$106*P26^3+$I$106*P26^2*P27+$J$106*P26*P27^2+$K$106*P27^3)</f>
        <v>2.2131126619544692</v>
      </c>
      <c r="Q33" s="49" t="s">
        <v>47</v>
      </c>
      <c r="R33" s="50">
        <f>P29*($B$106+$C$106*R26+$D$106*R27+$E$106*R26^2+$F$106*R26*R27+$G$106*R27^2+$H$106*R26^3+$I$106*R26^2*R27+$J$106*R26*R27^2+$K$106*R27^3)</f>
        <v>1.7922131003858279</v>
      </c>
      <c r="S33" s="48">
        <f>S29*($B$106+$C$106*S26+$D$106*S27+$E$106*S26^2+$F$106*S26*S27+$G$106*S27^2+$H$106*S26^3+$I$106*S26^2*S27+$J$106*S26*S27^2+$K$106*S27^3)</f>
        <v>2.6902143399050122</v>
      </c>
      <c r="T33" s="49" t="s">
        <v>47</v>
      </c>
      <c r="U33" s="50">
        <f>S29*($B$106+$C$106*U26+$D$106*U27+$E$106*U26^2+$F$106*U26*U27+$G$106*U27^2+$H$106*U26^3+$I$106*U26^2*U27+$J$106*U26*U27^2+$K$106*U27^3)</f>
        <v>2.003751692910241</v>
      </c>
      <c r="V33" s="48">
        <f>V29*($B$106+$C$106*V26+$D$106*V27+$E$106*V26^2+$F$106*V26*V27+$G$106*V27^2+$H$106*V26^3+$I$106*V26^2*V27+$J$106*V26*V27^2+$K$106*V27^3)</f>
        <v>2.8975628433026648</v>
      </c>
      <c r="W33" s="49" t="s">
        <v>47</v>
      </c>
      <c r="X33" s="50">
        <f>V29*($B$106+$C$106*X26+$D$106*X27+$E$106*X26^2+$F$106*X26*X27+$G$106*X27^2+$H$106*X26^3+$I$106*X26^2*X27+$J$106*X26*X27^2+$K$106*X27^3)</f>
        <v>2.2051810473599205</v>
      </c>
      <c r="Y33" s="8"/>
    </row>
    <row r="34" spans="1:25" x14ac:dyDescent="0.25">
      <c r="A34" s="21" t="s">
        <v>66</v>
      </c>
      <c r="B34" s="10" t="s">
        <v>67</v>
      </c>
      <c r="C34" s="51">
        <f>C33*(1-C32)</f>
        <v>1.6889156071929987</v>
      </c>
      <c r="D34" s="51">
        <f>D33*(1-D32)</f>
        <v>2.3023082562782782</v>
      </c>
      <c r="E34" s="51">
        <f>E33*(1-E32)</f>
        <v>2.6753407783200216</v>
      </c>
      <c r="F34" s="51">
        <f>F33*(1-F32)</f>
        <v>2.9144835434299425</v>
      </c>
      <c r="H34" s="52">
        <f>'[1]Cat 8 corr'!C41</f>
        <v>1.5686903336812634</v>
      </c>
      <c r="I34" s="52">
        <f>'[1]Cat 8 corr'!D41</f>
        <v>1.7344622611716696</v>
      </c>
      <c r="J34" s="52">
        <f>'[1]Cat 8 corr'!E41</f>
        <v>1.9645700377361581</v>
      </c>
      <c r="K34" s="52">
        <f>'[1]Cat 8 corr'!F41</f>
        <v>2.1117777817283958</v>
      </c>
      <c r="L34" s="38"/>
      <c r="M34" s="143">
        <f>(M33*(M30/(M30+O30))+O33*(O30/(M30+O30)))*(1-M32)</f>
        <v>1.8256779654178728</v>
      </c>
      <c r="N34" s="144"/>
      <c r="O34" s="145"/>
      <c r="P34" s="143">
        <f>(P33*(P30/(P30+R30))+R33*(R30/(P30+R30)))*(1-P32)</f>
        <v>1.9123897511313253</v>
      </c>
      <c r="Q34" s="144"/>
      <c r="R34" s="145"/>
      <c r="S34" s="143">
        <f>(S33*(S30/(S30+U30))+U33*(U30/(S30+U30)))*(1-S32)</f>
        <v>2.2708639330493541</v>
      </c>
      <c r="T34" s="144"/>
      <c r="U34" s="145"/>
      <c r="V34" s="143">
        <f>(V33*(V30/(V30+X30))+X33*(X30/(V30+X30)))*(1-V32)</f>
        <v>2.462222589634214</v>
      </c>
      <c r="W34" s="144"/>
      <c r="X34" s="145"/>
    </row>
    <row r="35" spans="1:25" x14ac:dyDescent="0.25">
      <c r="A35" s="21" t="s">
        <v>68</v>
      </c>
      <c r="B35" s="10" t="s">
        <v>69</v>
      </c>
      <c r="C35" s="26">
        <f>'[1]Cat 1 corr'!C53</f>
        <v>4.38</v>
      </c>
      <c r="D35" s="26">
        <f>'[1]Cat 1 corr'!D53</f>
        <v>4.38</v>
      </c>
      <c r="E35" s="26">
        <f>'[1]Cat 1 corr'!E53</f>
        <v>7.8622400146972264</v>
      </c>
      <c r="F35" s="26">
        <f>'[1]Cat 1 corr'!F53</f>
        <v>11.344480029394454</v>
      </c>
      <c r="H35" s="7">
        <f>'[1]Cat 8 corr'!C53</f>
        <v>4.38</v>
      </c>
      <c r="I35" s="7">
        <f>'[1]Cat 8 corr'!D53</f>
        <v>4.38</v>
      </c>
      <c r="J35" s="7">
        <f>'[1]Cat 8 corr'!E53</f>
        <v>8.3981616127954446</v>
      </c>
      <c r="K35" s="7">
        <f>'[1]Cat 8 corr'!F53</f>
        <v>12.41632322559089</v>
      </c>
      <c r="M35" s="149">
        <v>8</v>
      </c>
      <c r="N35" s="150"/>
      <c r="O35" s="151"/>
      <c r="P35" s="149">
        <v>8</v>
      </c>
      <c r="Q35" s="150"/>
      <c r="R35" s="151"/>
      <c r="S35" s="149">
        <v>16</v>
      </c>
      <c r="T35" s="150"/>
      <c r="U35" s="151"/>
      <c r="V35" s="149">
        <v>23</v>
      </c>
      <c r="W35" s="150"/>
      <c r="X35" s="151"/>
      <c r="Y35" s="53"/>
    </row>
    <row r="36" spans="1:25" x14ac:dyDescent="0.25">
      <c r="A36" s="54" t="s">
        <v>70</v>
      </c>
      <c r="B36" s="55" t="s">
        <v>71</v>
      </c>
      <c r="C36" s="56">
        <f>'[1]Cat 1 corr'!C55</f>
        <v>77.781513522781339</v>
      </c>
      <c r="D36" s="56">
        <f>'[1]Cat 1 corr'!D55</f>
        <v>82.921473010963567</v>
      </c>
      <c r="E36" s="56">
        <f>'[1]Cat 1 corr'!E55</f>
        <v>89.443320957935796</v>
      </c>
      <c r="F36" s="56">
        <f>'[1]Cat 1 corr'!F55</f>
        <v>106.09290708813495</v>
      </c>
      <c r="G36" s="57"/>
      <c r="H36" s="56">
        <f>'[1]Cat 8 corr'!C55</f>
        <v>139.72191257606002</v>
      </c>
      <c r="I36" s="56">
        <f>'[1]Cat 8 corr'!D55</f>
        <v>141.37887585878207</v>
      </c>
      <c r="J36" s="56">
        <f>'[1]Cat 8 corr'!E55</f>
        <v>183.44375555211084</v>
      </c>
      <c r="K36" s="56">
        <f>'[1]Cat 8 corr'!F55</f>
        <v>199.24546946136823</v>
      </c>
      <c r="L36" s="57"/>
      <c r="M36" s="152">
        <f>M35+M23/M34</f>
        <v>194.17083978564878</v>
      </c>
      <c r="N36" s="153"/>
      <c r="O36" s="154"/>
      <c r="P36" s="152">
        <f>P35+P23/P34</f>
        <v>187.785471086266</v>
      </c>
      <c r="Q36" s="153"/>
      <c r="R36" s="154"/>
      <c r="S36" s="152">
        <f>S35+S23/S34</f>
        <v>212.62100398459555</v>
      </c>
      <c r="T36" s="153"/>
      <c r="U36" s="154"/>
      <c r="V36" s="152">
        <f>V35+V23/V34</f>
        <v>240.99985564968284</v>
      </c>
      <c r="W36" s="153"/>
      <c r="X36" s="154"/>
    </row>
    <row r="37" spans="1:25" ht="8.4" customHeight="1" x14ac:dyDescent="0.25">
      <c r="A37" s="58"/>
      <c r="B37" s="59"/>
      <c r="C37" s="60"/>
      <c r="D37" s="60"/>
      <c r="E37" s="60"/>
      <c r="F37" s="60"/>
      <c r="H37" s="60"/>
      <c r="I37" s="60"/>
      <c r="J37" s="60"/>
      <c r="K37" s="60"/>
      <c r="M37" s="61"/>
      <c r="N37" s="61"/>
      <c r="O37" s="61"/>
      <c r="P37" s="61"/>
      <c r="Q37" s="61"/>
      <c r="R37" s="61"/>
      <c r="S37" s="61"/>
      <c r="T37" s="61"/>
      <c r="U37" s="61"/>
      <c r="V37" s="61"/>
    </row>
    <row r="38" spans="1:25" x14ac:dyDescent="0.25">
      <c r="A38" s="62"/>
      <c r="B38" s="63" t="s">
        <v>72</v>
      </c>
      <c r="C38" s="64">
        <f>C36/C5</f>
        <v>1.8458079647425794</v>
      </c>
      <c r="D38" s="64">
        <f>D36/D5</f>
        <v>0.77724126393318327</v>
      </c>
      <c r="E38" s="64">
        <f>E36/E5</f>
        <v>0.4857582582279209</v>
      </c>
      <c r="F38" s="64">
        <f>F36/F5</f>
        <v>0.32005052094837511</v>
      </c>
      <c r="H38" s="64">
        <f>H36/H5</f>
        <v>1.7039257631226832</v>
      </c>
      <c r="I38" s="64">
        <f>I36/I5</f>
        <v>1.2760632518189958</v>
      </c>
      <c r="J38" s="64">
        <f>J36/J5</f>
        <v>0.81237381340279013</v>
      </c>
      <c r="K38" s="64">
        <f>K36/K5</f>
        <v>0.56126116762264433</v>
      </c>
      <c r="M38" s="65">
        <f>M36/M5</f>
        <v>1.1510103368523779</v>
      </c>
      <c r="N38" s="66"/>
      <c r="O38" s="67"/>
      <c r="P38" s="65">
        <f>P36/P5</f>
        <v>0.94183763371952345</v>
      </c>
      <c r="Q38" s="66"/>
      <c r="R38" s="67"/>
      <c r="S38" s="65">
        <f>S36/S5</f>
        <v>0.61775388741079074</v>
      </c>
      <c r="T38" s="66"/>
      <c r="U38" s="67"/>
      <c r="V38" s="65">
        <f>V36/V5</f>
        <v>0.36482488871650876</v>
      </c>
      <c r="W38" s="66"/>
      <c r="X38" s="67"/>
    </row>
    <row r="39" spans="1:25" x14ac:dyDescent="0.25">
      <c r="A39" s="68"/>
      <c r="B39" s="69" t="s">
        <v>73</v>
      </c>
      <c r="C39" s="143" t="s">
        <v>74</v>
      </c>
      <c r="D39" s="144"/>
      <c r="E39" s="144"/>
      <c r="F39" s="145"/>
      <c r="H39" s="143" t="s">
        <v>75</v>
      </c>
      <c r="I39" s="144"/>
      <c r="J39" s="144"/>
      <c r="K39" s="145"/>
      <c r="M39" s="143" t="s">
        <v>76</v>
      </c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5"/>
    </row>
    <row r="40" spans="1:25" x14ac:dyDescent="0.25">
      <c r="A40" s="68" t="s">
        <v>77</v>
      </c>
      <c r="B40" s="69" t="s">
        <v>78</v>
      </c>
      <c r="C40" s="70">
        <f>103/C5+0.098</f>
        <v>2.5422597187672644</v>
      </c>
      <c r="D40" s="70">
        <f>103/D5+0.098</f>
        <v>1.0634417279168835</v>
      </c>
      <c r="E40" s="70">
        <f>103/E5+0.098</f>
        <v>0.65738330622815166</v>
      </c>
      <c r="F40" s="70">
        <f>103/F5+0.098</f>
        <v>0.40872014673231016</v>
      </c>
      <c r="H40" s="71">
        <f>132/H5+2.15*0.226</f>
        <v>2.0956560975609757</v>
      </c>
      <c r="I40" s="71">
        <f>132/I5+2.15*0.226</f>
        <v>1.6773110097208301</v>
      </c>
      <c r="J40" s="71">
        <f>132/J5+2.15*0.226</f>
        <v>1.0704570651692558</v>
      </c>
      <c r="K40" s="71">
        <f>132/K5+2.15*0.226</f>
        <v>0.85773517560761248</v>
      </c>
      <c r="L40" s="8"/>
      <c r="M40" s="143">
        <f>127/M5+(0.27*2.15+0.73)*0.326</f>
        <v>1.1800564993123723</v>
      </c>
      <c r="N40" s="144"/>
      <c r="O40" s="145"/>
      <c r="P40" s="143">
        <f>127/P5+(0.27*2.15+0.73)*0.326</f>
        <v>1.0641912318363747</v>
      </c>
      <c r="Q40" s="144"/>
      <c r="R40" s="145"/>
      <c r="S40" s="143">
        <f>127/S5+(0.27*2.15+0.73)*0.326</f>
        <v>0.79621168047323532</v>
      </c>
      <c r="T40" s="144"/>
      <c r="U40" s="145"/>
      <c r="V40" s="143">
        <f>127/V5+(0.27*2.15+0.73)*0.326</f>
        <v>0.61947523493223111</v>
      </c>
      <c r="W40" s="144"/>
      <c r="X40" s="145"/>
    </row>
    <row r="41" spans="1:25" x14ac:dyDescent="0.25">
      <c r="A41" s="68"/>
      <c r="B41" s="69" t="s">
        <v>79</v>
      </c>
      <c r="C41" s="143" t="s">
        <v>80</v>
      </c>
      <c r="D41" s="144"/>
      <c r="E41" s="144"/>
      <c r="F41" s="145"/>
      <c r="H41" s="143" t="s">
        <v>81</v>
      </c>
      <c r="I41" s="144"/>
      <c r="J41" s="144"/>
      <c r="K41" s="145"/>
      <c r="L41" s="8"/>
      <c r="M41" s="143" t="s">
        <v>82</v>
      </c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5"/>
    </row>
    <row r="42" spans="1:25" x14ac:dyDescent="0.25">
      <c r="A42" s="72"/>
      <c r="B42" s="4" t="s">
        <v>83</v>
      </c>
      <c r="C42" s="73">
        <f>(C38-C40)/C40</f>
        <v>-0.27394988359505329</v>
      </c>
      <c r="D42" s="73">
        <f>(D38-D40)/D40</f>
        <v>-0.26912660700678193</v>
      </c>
      <c r="E42" s="73">
        <f>(E38-E40)/E40</f>
        <v>-0.26107302448089015</v>
      </c>
      <c r="F42" s="73">
        <f>(F38-F40)/F40</f>
        <v>-0.21694459275580785</v>
      </c>
      <c r="G42" s="74"/>
      <c r="H42" s="73">
        <f>(H38-H40)/H40</f>
        <v>-0.1869249133453752</v>
      </c>
      <c r="I42" s="73">
        <f>(I38-I40)/I40</f>
        <v>-0.2392208454940134</v>
      </c>
      <c r="J42" s="73">
        <f>(J38-J40)/J40</f>
        <v>-0.24109631312084309</v>
      </c>
      <c r="K42" s="73">
        <f>(K38-K40)/K40</f>
        <v>-0.34564748702878884</v>
      </c>
      <c r="L42" s="74"/>
      <c r="M42" s="146">
        <f>(M38-M40)/M40</f>
        <v>-2.4614213367681877E-2</v>
      </c>
      <c r="N42" s="147"/>
      <c r="O42" s="148"/>
      <c r="P42" s="146">
        <f t="shared" ref="P42:V42" si="4">(P38-P40)/P40</f>
        <v>-0.11497331913336395</v>
      </c>
      <c r="Q42" s="147"/>
      <c r="R42" s="148"/>
      <c r="S42" s="146">
        <f t="shared" si="4"/>
        <v>-0.22413360346130146</v>
      </c>
      <c r="T42" s="147"/>
      <c r="U42" s="148"/>
      <c r="V42" s="146">
        <f t="shared" si="4"/>
        <v>-0.41107429620423874</v>
      </c>
      <c r="W42" s="147"/>
      <c r="X42" s="148"/>
      <c r="Y42" s="75"/>
    </row>
    <row r="43" spans="1:25" x14ac:dyDescent="0.25">
      <c r="B43" s="4" t="s">
        <v>84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140" t="s">
        <v>85</v>
      </c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2"/>
    </row>
    <row r="44" spans="1:25" x14ac:dyDescent="0.25">
      <c r="C44" s="36"/>
      <c r="D44" s="36"/>
      <c r="E44" s="36"/>
      <c r="F44" s="36"/>
      <c r="G44" s="36"/>
      <c r="H44" s="78"/>
      <c r="I44" s="78"/>
      <c r="J44" s="78"/>
      <c r="K44" s="78"/>
      <c r="L44" s="79"/>
      <c r="M44" s="80"/>
      <c r="N44" s="80"/>
      <c r="O44" s="81"/>
      <c r="P44" s="80"/>
      <c r="Q44" s="80"/>
      <c r="R44" s="81"/>
      <c r="S44" s="80"/>
      <c r="T44" s="80"/>
      <c r="U44" s="81"/>
      <c r="V44" s="80"/>
      <c r="X44" s="81"/>
    </row>
    <row r="45" spans="1:25" x14ac:dyDescent="0.25">
      <c r="A45" s="82" t="s">
        <v>86</v>
      </c>
      <c r="B45" s="83"/>
      <c r="C45" s="84"/>
      <c r="D45" s="84"/>
      <c r="E45" s="84"/>
      <c r="F45" s="84"/>
      <c r="G45" s="84"/>
      <c r="H45" s="85"/>
      <c r="I45" s="85"/>
      <c r="J45" s="85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6"/>
      <c r="X45" s="87"/>
    </row>
    <row r="46" spans="1:25" x14ac:dyDescent="0.25">
      <c r="A46" s="88" t="s">
        <v>87</v>
      </c>
      <c r="B46" s="89" t="s">
        <v>88</v>
      </c>
      <c r="C46" s="84"/>
      <c r="D46" s="84"/>
      <c r="E46" s="84"/>
      <c r="F46" s="84"/>
      <c r="G46" s="84"/>
      <c r="I46" s="85"/>
      <c r="J46" s="85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"/>
      <c r="X46" s="49"/>
    </row>
    <row r="47" spans="1:25" x14ac:dyDescent="0.25">
      <c r="A47" s="90" t="s">
        <v>89</v>
      </c>
      <c r="B47" s="91" t="s">
        <v>90</v>
      </c>
      <c r="C47" s="92">
        <f>((1.1/(2/0.9-1)*5.6703*10^-8*((8+273.15)^4-(C26+273.15)^4)/(8-C26))+2.75*((C24/22)^0.29)/(C9/0.6)^0.71)*(1+0)</f>
        <v>7.4032733711732472</v>
      </c>
      <c r="D47" s="92">
        <f>((1.1/(2/0.9-1)*5.6703*10^-8*((8+273.15)^4-(D26+273.15)^4)/(8-D26))+2.75*((D24/22)^0.29)/(D9/0.6)^0.71)*(1+0)</f>
        <v>6.9486639481872032</v>
      </c>
      <c r="E47" s="92">
        <f>((1.1/(2/0.9-1)*5.6703*10^-8*((8+273.15)^4-(E26+273.15)^4)/(8-E26))+2.75*((E24/22)^0.29)/(E9/0.6)^0.71)*(1+0)</f>
        <v>6.7642189129589259</v>
      </c>
      <c r="F47" s="92">
        <f>((1.1/(2/0.9-1)*5.6703*10^-8*((8+273.15)^4-(F26+273.15)^4)/(8-F26))+2.75*((F24/22)^0.29)/(F9/0.6)^0.71)*(1+0)</f>
        <v>6.5535639736092977</v>
      </c>
      <c r="G47" s="84"/>
      <c r="H47" s="92">
        <f>((1.1/(2/0.9-1)*5.6703*10^-8*((8+273.15)^4-(H26+273.15)^4)/(8-H26))+2.75*((H24/22)^0.29)/(H9/0.6)^0.71)*(1+0)</f>
        <v>6.1106508866015119</v>
      </c>
      <c r="I47" s="92">
        <f>((1.1/(2/0.9-1)*5.6703*10^-8*((8+273.15)^4-(I26+273.15)^4)/(8-I26))+2.75*((I24/22)^0.29)/(I9/0.6)^0.71)*(1+0)</f>
        <v>5.974283978613169</v>
      </c>
      <c r="J47" s="92">
        <f>((1.1/(2/0.9-1)*5.6703*10^-8*((8+273.15)^4-(J26+273.15)^4)/(8-J26))+2.75*((J24/22)^0.29)/(J9/0.6)^0.71)*(1+0)</f>
        <v>5.7880100662041611</v>
      </c>
      <c r="K47" s="92">
        <f>((1.1/(2/0.9-1)*5.6703*10^-8*((8+273.15)^4-(K26+273.15)^4)/(8-K26))+2.75*((K24/22)^0.29)/(K9/0.6)^0.71)*(1+0)</f>
        <v>5.5754015607883423</v>
      </c>
      <c r="L47" s="83"/>
      <c r="M47" s="92">
        <f>((1.1/(2/0.9-1)*5.6703*10^-8*((8+273.15)^4-(M26+273.15)^4)/(8-M26))+2.75*((M24/22)^0.29)/(M9/0.6)^0.71)*(1+0)</f>
        <v>6.8917546866579276</v>
      </c>
      <c r="N47" s="83"/>
      <c r="O47" s="83"/>
      <c r="P47" s="92">
        <f>((1.1/(2/0.9-1)*5.6703*10^-8*((8+273.15)^4-(P26+273.15)^4)/(8-P26))+2.75*((P24/22)^0.29)/(P9/0.6)^0.71)*(1+0)</f>
        <v>6.8740388654953524</v>
      </c>
      <c r="Q47" s="83"/>
      <c r="R47" s="83"/>
      <c r="S47" s="92">
        <f>((1.1/(2/0.9-1)*5.6703*10^-8*((8+273.15)^4-(S26+273.15)^4)/(8-S26))+2.75*((S24/22)^0.29)/(S9/0.6)^0.71)*(1+0)</f>
        <v>6.6476184225074828</v>
      </c>
      <c r="T47" s="83"/>
      <c r="U47" s="83"/>
      <c r="V47" s="92">
        <f>((1.1/(2/0.9-1)*5.6703*10^-8*((8+273.15)^4-(V26+273.15)^4)/(8-V26))+2.75*((V24/22)^0.29)/(V9/0.6)^0.71)*(1+0)</f>
        <v>6.1412003628042964</v>
      </c>
      <c r="W47" s="93"/>
      <c r="X47" s="93"/>
      <c r="Y47" s="8"/>
    </row>
    <row r="48" spans="1:25" x14ac:dyDescent="0.25">
      <c r="A48" s="90" t="s">
        <v>91</v>
      </c>
      <c r="B48" s="91" t="s">
        <v>92</v>
      </c>
      <c r="C48" s="92">
        <f>C22/C24/C47</f>
        <v>7.6538745597213895E-2</v>
      </c>
      <c r="D48" s="92">
        <f>D22/D24/D47</f>
        <v>0.1563520201782343</v>
      </c>
      <c r="E48" s="92">
        <f>E22/E24/E47</f>
        <v>0.23021139759270609</v>
      </c>
      <c r="F48" s="92">
        <f>F22/F24/F47</f>
        <v>0.34357687973928769</v>
      </c>
      <c r="G48" s="83"/>
      <c r="H48" s="92">
        <f>H22/H24/H47</f>
        <v>0.33051920940671925</v>
      </c>
      <c r="I48" s="92">
        <f>I22/I24/I47</f>
        <v>0.50448630417198248</v>
      </c>
      <c r="J48" s="92">
        <f>J22/J24/J47</f>
        <v>0.84780374166267081</v>
      </c>
      <c r="K48" s="92">
        <f>K22/K24/K47</f>
        <v>1.0097703167418053</v>
      </c>
      <c r="L48" s="83"/>
      <c r="M48" s="92">
        <f>M22/M24/M47</f>
        <v>0.25590527286913889</v>
      </c>
      <c r="N48" s="83"/>
      <c r="O48" s="83"/>
      <c r="P48" s="92">
        <f>P22/P24/P47</f>
        <v>0.27189149065976254</v>
      </c>
      <c r="Q48" s="83"/>
      <c r="R48" s="83"/>
      <c r="S48" s="92">
        <f>S22/S24/S47</f>
        <v>0.42596932730548281</v>
      </c>
      <c r="T48" s="83"/>
      <c r="U48" s="83"/>
      <c r="V48" s="92">
        <f>V22/V24/V47</f>
        <v>0.62360007927497019</v>
      </c>
      <c r="W48" s="93"/>
      <c r="X48" s="93"/>
      <c r="Y48" s="8"/>
    </row>
    <row r="49" spans="1:31" x14ac:dyDescent="0.25">
      <c r="A49" s="90" t="s">
        <v>93</v>
      </c>
      <c r="B49" s="91" t="s">
        <v>92</v>
      </c>
      <c r="C49" s="92">
        <f>(C9-2*C14)*(C11-C13-2*C14)</f>
        <v>9.4102040816326532E-2</v>
      </c>
      <c r="D49" s="92">
        <f>(D9-2*D14)*(D11-D13-2*D14)</f>
        <v>0.22606530612244904</v>
      </c>
      <c r="E49" s="92">
        <f>(E9-2*E14)*(E11-E13-2*E14)</f>
        <v>0.39731836734693882</v>
      </c>
      <c r="F49" s="92">
        <f>(F9-2*F14)*(F11-F13-2*F14)</f>
        <v>0.70380000000000009</v>
      </c>
      <c r="G49" s="83"/>
      <c r="H49" s="92">
        <f>(H9-2*H14)*(H11-H13-2*H14)</f>
        <v>0.19999999999999996</v>
      </c>
      <c r="I49" s="92">
        <f>(I9-2*I14)*(I11-I13-2*I14)</f>
        <v>0.30340000000000006</v>
      </c>
      <c r="J49" s="92">
        <f>(J9-2*J14)*(J11-J13-2*J14)</f>
        <v>0.60040000000000004</v>
      </c>
      <c r="K49" s="92">
        <f>(K9-2*K14)*(K11-K13-2*K14)</f>
        <v>0.76360000000000006</v>
      </c>
      <c r="L49" s="83"/>
      <c r="M49" s="92">
        <f>(M9-2*M14)*(M11-M13-2*M14)</f>
        <v>0.39160000000000006</v>
      </c>
      <c r="N49" s="83"/>
      <c r="O49" s="83"/>
      <c r="P49" s="92">
        <f>(P9-2*P14)*(P11-P13-2*P14)</f>
        <v>0.4914</v>
      </c>
      <c r="Q49" s="83"/>
      <c r="R49" s="83"/>
      <c r="S49" s="92">
        <f>(S9-2*S14)*(S11-S13-2*S14)</f>
        <v>0.76360000000000006</v>
      </c>
      <c r="T49" s="83"/>
      <c r="U49" s="83"/>
      <c r="V49" s="92">
        <f>(V9-2*V14)*(V11-V13-2*V14)</f>
        <v>1.0584</v>
      </c>
      <c r="W49" s="8"/>
      <c r="X49" s="8"/>
      <c r="Y49" s="8"/>
    </row>
    <row r="50" spans="1:31" x14ac:dyDescent="0.25">
      <c r="A50" s="90" t="s">
        <v>94</v>
      </c>
      <c r="B50" s="91" t="s">
        <v>95</v>
      </c>
      <c r="C50" s="94">
        <f>C48/C49</f>
        <v>0.81335904017859051</v>
      </c>
      <c r="D50" s="94">
        <f>D48/D49</f>
        <v>0.69162324312402756</v>
      </c>
      <c r="E50" s="94">
        <f>E48/E49</f>
        <v>0.5794129255335565</v>
      </c>
      <c r="F50" s="94">
        <f>F48/F49</f>
        <v>0.48817402634169882</v>
      </c>
      <c r="G50" s="83"/>
      <c r="H50" s="94">
        <f>H48/H49</f>
        <v>1.6525960470335965</v>
      </c>
      <c r="I50" s="94">
        <f>I48/I49</f>
        <v>1.6627762167830664</v>
      </c>
      <c r="J50" s="94">
        <f>J48/J49</f>
        <v>1.4120648595314302</v>
      </c>
      <c r="K50" s="94">
        <f>K48/K49</f>
        <v>1.3223812424591477</v>
      </c>
      <c r="L50" s="83"/>
      <c r="M50" s="94">
        <f>M48/M49</f>
        <v>0.65348639649933316</v>
      </c>
      <c r="N50" s="83"/>
      <c r="O50" s="83"/>
      <c r="P50" s="94">
        <f>P48/P49</f>
        <v>0.55329973679235356</v>
      </c>
      <c r="Q50" s="83"/>
      <c r="R50" s="83"/>
      <c r="S50" s="94">
        <f>S48/S49</f>
        <v>0.55784354021147564</v>
      </c>
      <c r="T50" s="83"/>
      <c r="U50" s="83"/>
      <c r="V50" s="94">
        <f>V48/V49</f>
        <v>0.58919130694914035</v>
      </c>
      <c r="W50" s="8"/>
      <c r="X50" s="8"/>
      <c r="Y50" s="8"/>
    </row>
    <row r="51" spans="1:31" x14ac:dyDescent="0.25">
      <c r="A51" s="88" t="s">
        <v>96</v>
      </c>
      <c r="B51" s="83"/>
      <c r="C51" s="83"/>
      <c r="D51" s="83"/>
      <c r="E51" s="83"/>
      <c r="F51" s="83"/>
      <c r="G51" s="83"/>
      <c r="H51" s="95" t="s">
        <v>97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"/>
      <c r="X51" s="8"/>
      <c r="Y51" s="8"/>
    </row>
    <row r="52" spans="1:31" x14ac:dyDescent="0.25">
      <c r="A52" s="96" t="s">
        <v>98</v>
      </c>
      <c r="B52" s="97" t="s">
        <v>99</v>
      </c>
      <c r="C52" s="98">
        <f>C30*(1+0.85*1/C33)</f>
        <v>75.584489267427671</v>
      </c>
      <c r="D52" s="98">
        <f>D30*(1+0.85*1/D33)</f>
        <v>101.89353416201229</v>
      </c>
      <c r="E52" s="98">
        <f>E30*(1+0.85*1/E33)</f>
        <v>116.01611447677372</v>
      </c>
      <c r="F52" s="98">
        <f>F30*(1+0.85*1/F33)</f>
        <v>125.57050697991855</v>
      </c>
      <c r="G52" s="83"/>
      <c r="H52" s="98">
        <f>H30*(1+0.85*1/H33)</f>
        <v>80.137501017451541</v>
      </c>
      <c r="I52" s="98">
        <f>I30*(1+0.85*1/I33)</f>
        <v>118.87230656972137</v>
      </c>
      <c r="J52" s="98">
        <f>J30*(1+0.85*1/J33)</f>
        <v>149.34556125073374</v>
      </c>
      <c r="K52" s="98">
        <f>K30*(1+0.85*1/K33)</f>
        <v>172.7869505237328</v>
      </c>
      <c r="L52" s="83"/>
      <c r="M52" s="98">
        <f>M30*(1+0.85*1/M33)</f>
        <v>193.94159675396625</v>
      </c>
      <c r="N52" s="83"/>
      <c r="O52" s="83"/>
      <c r="P52" s="98">
        <f>P30*(1+0.85*1/P33)</f>
        <v>204.57368189767433</v>
      </c>
      <c r="Q52" s="83"/>
      <c r="R52" s="83"/>
      <c r="S52" s="98">
        <f>S30*(1+0.85*1/S33)</f>
        <v>277.49927695323049</v>
      </c>
      <c r="T52" s="83"/>
      <c r="U52" s="83"/>
      <c r="V52" s="98">
        <f>V30*(1+0.85*1/V33)</f>
        <v>301.52462255356937</v>
      </c>
      <c r="W52" s="93"/>
      <c r="X52" s="93"/>
      <c r="Y52" s="8"/>
    </row>
    <row r="53" spans="1:31" x14ac:dyDescent="0.25">
      <c r="A53" s="96" t="s">
        <v>100</v>
      </c>
      <c r="B53" s="97" t="s">
        <v>99</v>
      </c>
      <c r="C53" s="98">
        <f>(31*C25-40)*C7</f>
        <v>74.236500000000007</v>
      </c>
      <c r="D53" s="98">
        <f>(31*D25-40)*D7</f>
        <v>103.81800000000001</v>
      </c>
      <c r="E53" s="98">
        <f>(31*E25-40)*E7</f>
        <v>141.07499999999999</v>
      </c>
      <c r="F53" s="98">
        <f>(31*F25-40)*F7</f>
        <v>232.30799999999999</v>
      </c>
      <c r="G53" s="83"/>
      <c r="H53" s="98">
        <f>(31*H25-40)*H7</f>
        <v>99.329999999999984</v>
      </c>
      <c r="I53" s="98">
        <f>(31*I25-40)*I7</f>
        <v>124.8775</v>
      </c>
      <c r="J53" s="98">
        <f>(31*J25-40)*J7</f>
        <v>185.85</v>
      </c>
      <c r="K53" s="98">
        <f>(31*K25-40)*K7</f>
        <v>189.07000000000002</v>
      </c>
      <c r="L53" s="83"/>
      <c r="M53" s="98">
        <f>(31*M25-40)*M7</f>
        <v>286.85249999999996</v>
      </c>
      <c r="N53" s="83"/>
      <c r="O53" s="83"/>
      <c r="P53" s="98">
        <f>(31*P25-40)*P7</f>
        <v>334.8125</v>
      </c>
      <c r="Q53" s="83"/>
      <c r="R53" s="83"/>
      <c r="S53" s="98">
        <f>(31*S25-40)*S7</f>
        <v>413.70000000000005</v>
      </c>
      <c r="T53" s="83"/>
      <c r="U53" s="83"/>
      <c r="V53" s="98">
        <f>(31*V25-40)*V7</f>
        <v>522.72</v>
      </c>
      <c r="W53" s="8"/>
      <c r="X53" s="8"/>
      <c r="Y53" s="8"/>
    </row>
    <row r="54" spans="1:31" x14ac:dyDescent="0.25">
      <c r="A54" s="99"/>
      <c r="B54" s="84"/>
      <c r="C54" s="100"/>
      <c r="D54" s="100"/>
      <c r="E54" s="100"/>
      <c r="F54" s="100"/>
      <c r="G54" s="83"/>
      <c r="I54" s="100"/>
      <c r="J54" s="100"/>
      <c r="K54" s="100"/>
      <c r="L54" s="83"/>
      <c r="M54" s="100"/>
      <c r="N54" s="83"/>
      <c r="O54" s="83"/>
      <c r="P54" s="100"/>
      <c r="Q54" s="83"/>
      <c r="R54" s="83"/>
      <c r="S54" s="100"/>
      <c r="T54" s="83"/>
      <c r="U54" s="83"/>
      <c r="V54" s="100"/>
      <c r="W54" s="8"/>
      <c r="X54" s="8"/>
      <c r="Y54" s="8"/>
    </row>
    <row r="55" spans="1:31" x14ac:dyDescent="0.25">
      <c r="A55" s="101" t="s">
        <v>101</v>
      </c>
      <c r="W55" s="93"/>
      <c r="X55" s="93"/>
      <c r="Y55" s="8"/>
    </row>
    <row r="56" spans="1:31" ht="14.4" x14ac:dyDescent="0.25">
      <c r="A56" s="102" t="s">
        <v>102</v>
      </c>
      <c r="B56" s="10" t="s">
        <v>103</v>
      </c>
      <c r="C56" s="64">
        <f>(-23.3+273.15)/(54.4--23.3)</f>
        <v>3.2155727155727152</v>
      </c>
      <c r="D56" s="64">
        <f>(-23.3+273.15)/(54.4--23.3)</f>
        <v>3.2155727155727152</v>
      </c>
      <c r="E56" s="64">
        <f>(-23.3+273.15)/(54.4--23.3)</f>
        <v>3.2155727155727152</v>
      </c>
      <c r="F56" s="64">
        <f>(-23.3+273.15)/(54.4--23.3)</f>
        <v>3.2155727155727152</v>
      </c>
      <c r="H56" s="64">
        <f>(-23.3+273.15)/(54.4--23.3)</f>
        <v>3.2155727155727152</v>
      </c>
      <c r="I56" s="64">
        <f>(-23.3+273.15)/(54.4--23.3)</f>
        <v>3.2155727155727152</v>
      </c>
      <c r="J56" s="64">
        <f>(-23.3+273.15)/(54.4--23.3)</f>
        <v>3.2155727155727152</v>
      </c>
      <c r="K56" s="64">
        <f>(-23.3+273.15)/(54.4--23.3)</f>
        <v>3.2155727155727152</v>
      </c>
      <c r="M56" s="64">
        <f t="shared" ref="M56:X56" si="5">(-23.3+273.15)/(54.4--23.3)</f>
        <v>3.2155727155727152</v>
      </c>
      <c r="N56" s="64">
        <f t="shared" si="5"/>
        <v>3.2155727155727152</v>
      </c>
      <c r="O56" s="64">
        <f t="shared" si="5"/>
        <v>3.2155727155727152</v>
      </c>
      <c r="P56" s="64">
        <f t="shared" si="5"/>
        <v>3.2155727155727152</v>
      </c>
      <c r="Q56" s="64">
        <f t="shared" si="5"/>
        <v>3.2155727155727152</v>
      </c>
      <c r="R56" s="64">
        <f t="shared" si="5"/>
        <v>3.2155727155727152</v>
      </c>
      <c r="S56" s="64">
        <f t="shared" si="5"/>
        <v>3.2155727155727152</v>
      </c>
      <c r="T56" s="64"/>
      <c r="U56" s="64">
        <f t="shared" si="5"/>
        <v>3.2155727155727152</v>
      </c>
      <c r="V56" s="64">
        <f t="shared" si="5"/>
        <v>3.2155727155727152</v>
      </c>
      <c r="W56" s="64"/>
      <c r="X56" s="64">
        <f t="shared" si="5"/>
        <v>3.2155727155727152</v>
      </c>
      <c r="Y56" s="8"/>
    </row>
    <row r="57" spans="1:31" ht="14.4" x14ac:dyDescent="0.25">
      <c r="A57" s="21" t="s">
        <v>104</v>
      </c>
      <c r="B57" s="10" t="s">
        <v>105</v>
      </c>
      <c r="C57" s="51">
        <f>(C26+273.15)/(C27-C26)</f>
        <v>3.8356060606060605</v>
      </c>
      <c r="D57" s="51">
        <f>(D26+273.15)/(D27-D26)</f>
        <v>4.983653846153846</v>
      </c>
      <c r="E57" s="51">
        <f>(E26+273.15)/(E27-E26)</f>
        <v>5.6989130434782602</v>
      </c>
      <c r="F57" s="51">
        <f>(F26+273.15)/(F27-F26)</f>
        <v>6.1430232558139526</v>
      </c>
      <c r="H57" s="51">
        <f>(H26+273.15)/(H27-H26)</f>
        <v>3.5463235294117643</v>
      </c>
      <c r="I57" s="51">
        <f>(I26+273.15)/(I27-I26)</f>
        <v>3.875396825396825</v>
      </c>
      <c r="J57" s="51">
        <f>(J26+273.15)/(J27-J26)</f>
        <v>4.0858333333333325</v>
      </c>
      <c r="K57" s="51">
        <f>(K26+273.15)/(K27-K26)</f>
        <v>4.1550847457627116</v>
      </c>
      <c r="M57" s="51">
        <f t="shared" ref="M57:X57" si="6">(M26+273.15)/(M27-M26)</f>
        <v>4.1991803278688522</v>
      </c>
      <c r="N57" s="51" t="e">
        <f t="shared" si="6"/>
        <v>#VALUE!</v>
      </c>
      <c r="O57" s="51">
        <f t="shared" si="6"/>
        <v>3.7407692307692306</v>
      </c>
      <c r="P57" s="51">
        <f t="shared" si="6"/>
        <v>4.4336206896551724</v>
      </c>
      <c r="Q57" s="51" t="e">
        <f t="shared" si="6"/>
        <v>#VALUE!</v>
      </c>
      <c r="R57" s="51">
        <f t="shared" si="6"/>
        <v>3.7407692307692306</v>
      </c>
      <c r="S57" s="51">
        <f t="shared" si="6"/>
        <v>5.0028846153846152</v>
      </c>
      <c r="T57" s="51"/>
      <c r="U57" s="51">
        <f t="shared" si="6"/>
        <v>3.8912698412698408</v>
      </c>
      <c r="V57" s="51">
        <f t="shared" si="6"/>
        <v>5.35</v>
      </c>
      <c r="W57" s="51"/>
      <c r="X57" s="51">
        <f t="shared" si="6"/>
        <v>4.1889830508474573</v>
      </c>
      <c r="Y57" s="8"/>
    </row>
    <row r="58" spans="1:31" ht="14.4" x14ac:dyDescent="0.25">
      <c r="A58" s="21" t="s">
        <v>106</v>
      </c>
      <c r="B58" s="103" t="s">
        <v>107</v>
      </c>
      <c r="C58" s="43">
        <f>C29/C56</f>
        <v>0.52867720632379434</v>
      </c>
      <c r="D58" s="43">
        <f>D29/D56</f>
        <v>0.52867720632379434</v>
      </c>
      <c r="E58" s="43">
        <f>E29/E56</f>
        <v>0.52867720632379434</v>
      </c>
      <c r="F58" s="43">
        <f>F29/F56</f>
        <v>0.52867720632379434</v>
      </c>
      <c r="H58" s="43">
        <f>H29/H56</f>
        <v>0.52867720632379434</v>
      </c>
      <c r="I58" s="43">
        <f>I29/I56</f>
        <v>0.52867720632379434</v>
      </c>
      <c r="J58" s="43">
        <f>J29/J56</f>
        <v>0.55977586551931169</v>
      </c>
      <c r="K58" s="43">
        <f>K29/K56</f>
        <v>0.59087452471482893</v>
      </c>
      <c r="M58" s="43">
        <f t="shared" ref="M58:V58" si="7">M29/M56</f>
        <v>0.52867720632379434</v>
      </c>
      <c r="N58" s="43">
        <f t="shared" si="7"/>
        <v>0</v>
      </c>
      <c r="O58" s="43">
        <f>M29/O56</f>
        <v>0.52867720632379434</v>
      </c>
      <c r="P58" s="43">
        <f t="shared" si="7"/>
        <v>0.52867720632379434</v>
      </c>
      <c r="Q58" s="43">
        <f t="shared" si="7"/>
        <v>0</v>
      </c>
      <c r="R58" s="43">
        <f>P29/R56</f>
        <v>0.52867720632379434</v>
      </c>
      <c r="S58" s="43">
        <f t="shared" si="7"/>
        <v>0.55977586551931169</v>
      </c>
      <c r="T58" s="43"/>
      <c r="U58" s="43">
        <f>S29/U56</f>
        <v>0.55977586551931169</v>
      </c>
      <c r="V58" s="43">
        <f t="shared" si="7"/>
        <v>0.55977586551931169</v>
      </c>
      <c r="W58" s="43"/>
      <c r="X58" s="43">
        <f>V29/X56</f>
        <v>0.55977586551931169</v>
      </c>
    </row>
    <row r="59" spans="1:31" ht="14.4" x14ac:dyDescent="0.25">
      <c r="A59" s="21" t="s">
        <v>108</v>
      </c>
      <c r="B59" s="10" t="s">
        <v>109</v>
      </c>
      <c r="C59" s="43">
        <f>1-C32</f>
        <v>0.90914663572115939</v>
      </c>
      <c r="D59" s="43">
        <f>1-D32</f>
        <v>0.90882018350862825</v>
      </c>
      <c r="E59" s="43">
        <f>1-E32</f>
        <v>0.90960251322379426</v>
      </c>
      <c r="F59" s="43">
        <f>1-F32</f>
        <v>0.9147515983412926</v>
      </c>
      <c r="H59" s="43">
        <f>1-H32</f>
        <v>0.93220966687600082</v>
      </c>
      <c r="I59" s="43">
        <f>1-I32</f>
        <v>0.91640536222810931</v>
      </c>
      <c r="J59" s="43">
        <f>1-J32</f>
        <v>0.92091902152518745</v>
      </c>
      <c r="K59" s="43">
        <f>1-K32</f>
        <v>0.91958439202778408</v>
      </c>
      <c r="M59" s="43">
        <f t="shared" ref="M59:X59" si="8">1-M32</f>
        <v>0.92449083920349584</v>
      </c>
      <c r="N59" s="43">
        <f t="shared" si="8"/>
        <v>1</v>
      </c>
      <c r="O59" s="43">
        <f>1-M32</f>
        <v>0.92449083920349584</v>
      </c>
      <c r="P59" s="43">
        <f t="shared" si="8"/>
        <v>0.92383209264788135</v>
      </c>
      <c r="Q59" s="43">
        <f t="shared" si="8"/>
        <v>1</v>
      </c>
      <c r="R59" s="43">
        <f>1-P32</f>
        <v>0.92383209264788135</v>
      </c>
      <c r="S59" s="43">
        <f t="shared" si="8"/>
        <v>0.92111618775760706</v>
      </c>
      <c r="T59" s="43"/>
      <c r="U59" s="43">
        <f>1-S32</f>
        <v>0.92111618775760706</v>
      </c>
      <c r="V59" s="43">
        <f t="shared" si="8"/>
        <v>0.92390756682235087</v>
      </c>
      <c r="W59" s="43"/>
      <c r="X59" s="43">
        <f t="shared" si="8"/>
        <v>1</v>
      </c>
    </row>
    <row r="60" spans="1:31" ht="14.4" x14ac:dyDescent="0.25">
      <c r="A60" s="104" t="s">
        <v>64</v>
      </c>
      <c r="B60" s="105" t="s">
        <v>110</v>
      </c>
      <c r="C60" s="106">
        <f>C58*C57*C59</f>
        <v>1.8435652720302529</v>
      </c>
      <c r="D60" s="106">
        <f>D58*D57*D59</f>
        <v>2.3945087006801402</v>
      </c>
      <c r="E60" s="106">
        <f>E58*E57*E59</f>
        <v>2.740528156371151</v>
      </c>
      <c r="F60" s="106">
        <f>F58*F57*F59</f>
        <v>2.9708171533401613</v>
      </c>
      <c r="G60" s="47"/>
      <c r="H60" s="106">
        <f>H58*H57*H59</f>
        <v>1.7477630040711793</v>
      </c>
      <c r="I60" s="106">
        <f>I58*I57*I59</f>
        <v>1.8775624337168637</v>
      </c>
      <c r="J60" s="106">
        <f>J58*J57*J59</f>
        <v>2.1062807601913276</v>
      </c>
      <c r="K60" s="106">
        <f>K58*K57*K59</f>
        <v>2.2577026532095115</v>
      </c>
      <c r="L60" s="47"/>
      <c r="M60" s="106">
        <f t="shared" ref="M60:X60" si="9">M58*M57*M59</f>
        <v>2.0523797627128633</v>
      </c>
      <c r="N60" s="106" t="e">
        <f t="shared" si="9"/>
        <v>#VALUE!</v>
      </c>
      <c r="O60" s="106">
        <f t="shared" si="9"/>
        <v>1.8283280227944319</v>
      </c>
      <c r="P60" s="106">
        <f t="shared" si="9"/>
        <v>2.1654201137549669</v>
      </c>
      <c r="Q60" s="106" t="e">
        <f t="shared" si="9"/>
        <v>#VALUE!</v>
      </c>
      <c r="R60" s="106">
        <f t="shared" si="9"/>
        <v>1.8270252464590959</v>
      </c>
      <c r="S60" s="106">
        <f t="shared" si="9"/>
        <v>2.57958041760791</v>
      </c>
      <c r="T60" s="106"/>
      <c r="U60" s="106">
        <f t="shared" si="9"/>
        <v>2.0064111515384662</v>
      </c>
      <c r="V60" s="106">
        <f t="shared" si="9"/>
        <v>2.7669191946463516</v>
      </c>
      <c r="W60" s="106"/>
      <c r="X60" s="106">
        <f t="shared" si="9"/>
        <v>2.3448916129338624</v>
      </c>
    </row>
    <row r="61" spans="1:31" x14ac:dyDescent="0.25">
      <c r="A61" s="107"/>
      <c r="B61" s="108" t="s">
        <v>111</v>
      </c>
      <c r="C61" s="109">
        <f>C33/C60-1</f>
        <v>7.6634230479546428E-3</v>
      </c>
      <c r="D61" s="109">
        <f>D33/D60-1</f>
        <v>5.7959610369269221E-2</v>
      </c>
      <c r="E61" s="109">
        <f>E33/E60-1</f>
        <v>7.3230951916064768E-2</v>
      </c>
      <c r="F61" s="109">
        <f>F33/F60-1</f>
        <v>7.2463468301142031E-2</v>
      </c>
      <c r="G61" s="47"/>
      <c r="H61" s="109">
        <f>H33/H60-1</f>
        <v>-5.2561282131893816E-2</v>
      </c>
      <c r="I61" s="109">
        <f>I33/I60-1</f>
        <v>2.4492560869888713E-3</v>
      </c>
      <c r="J61" s="109">
        <f>J33/J60-1</f>
        <v>1.5162517710422652E-2</v>
      </c>
      <c r="K61" s="109">
        <f>K33/K60-1</f>
        <v>2.2114460738797526E-2</v>
      </c>
      <c r="L61" s="47"/>
      <c r="M61" s="109">
        <f>M33/M60-1</f>
        <v>1.13956654348224E-2</v>
      </c>
      <c r="N61" s="110"/>
      <c r="O61" s="110"/>
      <c r="P61" s="109">
        <f>P33/P60-1</f>
        <v>2.2024616792166274E-2</v>
      </c>
      <c r="S61" s="109">
        <f>S33/S60-1</f>
        <v>4.2888340112185785E-2</v>
      </c>
      <c r="U61" s="109"/>
      <c r="V61" s="109">
        <f>V33/V60-1</f>
        <v>4.7216286225160609E-2</v>
      </c>
    </row>
    <row r="62" spans="1:31" x14ac:dyDescent="0.25">
      <c r="A62" s="107"/>
      <c r="B62" s="108"/>
      <c r="C62" s="109"/>
      <c r="D62" s="109"/>
      <c r="E62" s="109"/>
      <c r="F62" s="109"/>
      <c r="G62" s="47"/>
      <c r="H62" s="109"/>
      <c r="I62" s="109"/>
      <c r="J62" s="109"/>
      <c r="K62" s="109"/>
      <c r="L62" s="47"/>
      <c r="M62" s="109"/>
      <c r="N62" s="110"/>
      <c r="O62" s="110"/>
      <c r="P62" s="109"/>
      <c r="S62" s="109"/>
      <c r="U62" s="109"/>
      <c r="V62" s="109"/>
    </row>
    <row r="63" spans="1:31" s="119" customFormat="1" x14ac:dyDescent="0.25">
      <c r="A63" s="115"/>
      <c r="B63" s="116"/>
      <c r="C63" s="117"/>
      <c r="D63" s="117"/>
      <c r="E63" s="117"/>
      <c r="F63" s="117"/>
      <c r="G63" s="118"/>
      <c r="H63" s="117"/>
      <c r="I63" s="117"/>
      <c r="J63" s="117"/>
      <c r="K63" s="117"/>
      <c r="L63" s="118"/>
      <c r="M63" s="117"/>
      <c r="N63" s="117"/>
      <c r="O63" s="117"/>
      <c r="P63" s="117"/>
    </row>
    <row r="64" spans="1:31" s="119" customFormat="1" x14ac:dyDescent="0.25">
      <c r="A64" s="120"/>
      <c r="Z64" s="121"/>
      <c r="AA64" s="121"/>
      <c r="AB64" s="121"/>
      <c r="AC64" s="121"/>
      <c r="AD64" s="121"/>
      <c r="AE64" s="121"/>
    </row>
    <row r="65" spans="1:32" s="119" customFormat="1" x14ac:dyDescent="0.25">
      <c r="A65" s="120"/>
      <c r="B65" s="122"/>
      <c r="D65" s="123"/>
      <c r="E65" s="123"/>
      <c r="F65" s="123"/>
      <c r="H65" s="123"/>
      <c r="I65" s="124"/>
      <c r="K65" s="123"/>
      <c r="L65" s="123"/>
      <c r="Y65" s="125"/>
      <c r="Z65" s="123"/>
      <c r="AA65" s="123"/>
      <c r="AB65" s="123"/>
      <c r="AC65" s="123"/>
      <c r="AD65" s="123"/>
      <c r="AE65" s="123"/>
    </row>
    <row r="66" spans="1:32" s="119" customFormat="1" x14ac:dyDescent="0.25">
      <c r="A66" s="120"/>
      <c r="D66" s="126"/>
      <c r="E66" s="126"/>
      <c r="F66" s="126"/>
      <c r="G66" s="127"/>
      <c r="H66" s="126"/>
      <c r="I66" s="126"/>
      <c r="K66" s="128"/>
      <c r="L66" s="126"/>
      <c r="U66" s="129"/>
      <c r="X66" s="130"/>
      <c r="Y66" s="131"/>
      <c r="Z66" s="132"/>
      <c r="AA66" s="132"/>
      <c r="AB66" s="133"/>
      <c r="AC66" s="133"/>
      <c r="AD66" s="133"/>
      <c r="AE66" s="133"/>
    </row>
    <row r="67" spans="1:32" s="119" customFormat="1" x14ac:dyDescent="0.25">
      <c r="A67" s="120"/>
      <c r="D67" s="134"/>
      <c r="E67" s="134"/>
      <c r="F67" s="134"/>
      <c r="G67" s="127"/>
      <c r="H67" s="134"/>
      <c r="I67" s="134"/>
      <c r="K67" s="134"/>
      <c r="L67" s="134"/>
      <c r="U67" s="129"/>
      <c r="X67" s="130"/>
      <c r="Y67" s="131"/>
      <c r="Z67" s="132"/>
      <c r="AA67" s="132"/>
      <c r="AB67" s="132"/>
      <c r="AC67" s="132"/>
      <c r="AD67" s="132"/>
      <c r="AE67" s="132"/>
    </row>
    <row r="68" spans="1:32" s="119" customFormat="1" x14ac:dyDescent="0.25">
      <c r="A68" s="120"/>
      <c r="B68" s="127"/>
      <c r="D68" s="134"/>
      <c r="E68" s="134"/>
      <c r="F68" s="134"/>
      <c r="G68" s="127"/>
      <c r="H68" s="134"/>
      <c r="I68" s="134"/>
      <c r="K68" s="134"/>
      <c r="L68" s="134"/>
      <c r="U68" s="129"/>
      <c r="X68" s="130"/>
      <c r="Y68" s="131"/>
      <c r="Z68" s="135"/>
      <c r="AA68" s="135"/>
      <c r="AB68" s="132"/>
      <c r="AC68" s="132"/>
      <c r="AD68" s="132"/>
      <c r="AE68" s="132"/>
    </row>
    <row r="69" spans="1:32" s="119" customFormat="1" x14ac:dyDescent="0.25">
      <c r="A69" s="120"/>
      <c r="B69" s="127"/>
      <c r="D69" s="127"/>
      <c r="E69" s="127"/>
      <c r="F69" s="127"/>
      <c r="G69" s="127"/>
      <c r="H69" s="127"/>
      <c r="U69" s="129"/>
      <c r="X69" s="130"/>
      <c r="Y69" s="131"/>
      <c r="Z69" s="136"/>
      <c r="AA69" s="133"/>
      <c r="AB69" s="136"/>
      <c r="AC69" s="136"/>
      <c r="AD69" s="136"/>
      <c r="AE69" s="136"/>
    </row>
    <row r="70" spans="1:32" s="119" customFormat="1" x14ac:dyDescent="0.25">
      <c r="A70" s="120"/>
      <c r="D70" s="127"/>
      <c r="E70" s="127"/>
      <c r="F70" s="127"/>
      <c r="G70" s="127"/>
      <c r="H70" s="127"/>
      <c r="U70" s="129"/>
      <c r="X70" s="130"/>
      <c r="Y70" s="131"/>
      <c r="Z70" s="132"/>
      <c r="AA70" s="135"/>
      <c r="AB70" s="132"/>
      <c r="AC70" s="132"/>
      <c r="AD70" s="132"/>
      <c r="AE70" s="132"/>
    </row>
    <row r="71" spans="1:32" s="119" customFormat="1" x14ac:dyDescent="0.25">
      <c r="A71" s="120"/>
      <c r="D71" s="127"/>
      <c r="E71" s="127"/>
      <c r="F71" s="127"/>
      <c r="G71" s="127"/>
      <c r="H71" s="127"/>
      <c r="U71" s="129"/>
      <c r="X71" s="130"/>
      <c r="Y71" s="131"/>
      <c r="Z71" s="133"/>
      <c r="AA71" s="132"/>
      <c r="AB71" s="132"/>
      <c r="AC71" s="132"/>
      <c r="AD71" s="132"/>
      <c r="AE71" s="132"/>
    </row>
    <row r="72" spans="1:32" s="119" customFormat="1" x14ac:dyDescent="0.25">
      <c r="A72" s="120"/>
      <c r="D72" s="134"/>
      <c r="E72" s="134"/>
      <c r="F72" s="134"/>
      <c r="G72" s="127"/>
      <c r="H72" s="134"/>
      <c r="I72" s="134"/>
      <c r="K72" s="134"/>
      <c r="L72" s="134"/>
      <c r="U72" s="129"/>
      <c r="X72" s="130"/>
      <c r="Y72" s="131"/>
      <c r="Z72" s="132"/>
      <c r="AA72" s="132"/>
      <c r="AB72" s="133"/>
      <c r="AC72" s="133"/>
      <c r="AD72" s="133"/>
      <c r="AE72" s="133"/>
    </row>
    <row r="73" spans="1:32" s="119" customFormat="1" x14ac:dyDescent="0.25">
      <c r="A73" s="120"/>
      <c r="D73" s="127"/>
      <c r="E73" s="127"/>
      <c r="F73" s="127"/>
      <c r="G73" s="127"/>
      <c r="H73" s="127"/>
      <c r="U73" s="129"/>
      <c r="X73" s="130"/>
      <c r="Y73" s="131"/>
      <c r="Z73" s="132"/>
      <c r="AA73" s="132"/>
      <c r="AB73" s="132"/>
      <c r="AC73" s="132"/>
      <c r="AD73" s="132"/>
      <c r="AE73" s="132"/>
    </row>
    <row r="74" spans="1:32" s="119" customFormat="1" x14ac:dyDescent="0.25">
      <c r="A74" s="120"/>
      <c r="D74" s="134"/>
      <c r="E74" s="134"/>
      <c r="F74" s="134"/>
      <c r="G74" s="127"/>
      <c r="H74" s="134"/>
      <c r="I74" s="134"/>
      <c r="K74" s="134"/>
      <c r="L74" s="134"/>
      <c r="U74" s="129"/>
      <c r="X74" s="130"/>
      <c r="Y74" s="131"/>
      <c r="Z74" s="132"/>
      <c r="AA74" s="132"/>
      <c r="AB74" s="132"/>
      <c r="AC74" s="132"/>
      <c r="AD74" s="132"/>
      <c r="AE74" s="132"/>
    </row>
    <row r="75" spans="1:32" s="119" customFormat="1" x14ac:dyDescent="0.25">
      <c r="A75" s="120"/>
      <c r="D75" s="127"/>
      <c r="E75" s="127"/>
      <c r="F75" s="127"/>
      <c r="G75" s="127"/>
      <c r="H75" s="127"/>
      <c r="U75" s="129"/>
      <c r="X75" s="130"/>
      <c r="Y75" s="131"/>
      <c r="Z75" s="132"/>
      <c r="AA75" s="132"/>
      <c r="AB75" s="132"/>
      <c r="AC75" s="132"/>
      <c r="AD75" s="132"/>
      <c r="AE75" s="132"/>
    </row>
    <row r="76" spans="1:32" s="119" customFormat="1" x14ac:dyDescent="0.25">
      <c r="A76" s="120"/>
      <c r="D76" s="137"/>
      <c r="E76" s="137"/>
      <c r="F76" s="137"/>
      <c r="G76" s="127"/>
      <c r="H76" s="137"/>
      <c r="I76" s="122"/>
      <c r="K76" s="122"/>
      <c r="L76" s="122"/>
      <c r="U76" s="129"/>
      <c r="X76" s="130"/>
      <c r="Y76" s="131"/>
      <c r="Z76" s="132"/>
      <c r="AA76" s="132"/>
      <c r="AB76" s="132"/>
      <c r="AC76" s="132"/>
      <c r="AD76" s="132"/>
      <c r="AE76" s="132"/>
    </row>
    <row r="77" spans="1:32" s="119" customFormat="1" x14ac:dyDescent="0.25">
      <c r="A77" s="120"/>
      <c r="AB77" s="138"/>
    </row>
    <row r="78" spans="1:32" s="119" customFormat="1" x14ac:dyDescent="0.25">
      <c r="A78" s="120"/>
      <c r="U78" s="118"/>
      <c r="Z78" s="118"/>
      <c r="AA78" s="118"/>
      <c r="AB78" s="139"/>
    </row>
    <row r="79" spans="1:32" x14ac:dyDescent="0.25">
      <c r="U79" s="114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x14ac:dyDescent="0.25"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21:32" x14ac:dyDescent="0.25"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21:32" x14ac:dyDescent="0.25"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104" spans="1:11" s="57" customFormat="1" x14ac:dyDescent="0.25">
      <c r="A104" s="111" t="s">
        <v>112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</row>
    <row r="105" spans="1:11" s="57" customFormat="1" x14ac:dyDescent="0.25">
      <c r="A105" s="111"/>
      <c r="B105" s="112" t="s">
        <v>113</v>
      </c>
      <c r="C105" s="112" t="s">
        <v>114</v>
      </c>
      <c r="D105" s="112" t="s">
        <v>115</v>
      </c>
      <c r="E105" s="112" t="s">
        <v>116</v>
      </c>
      <c r="F105" s="112" t="s">
        <v>117</v>
      </c>
      <c r="G105" s="112" t="s">
        <v>118</v>
      </c>
      <c r="H105" s="112" t="s">
        <v>119</v>
      </c>
      <c r="I105" s="112" t="s">
        <v>120</v>
      </c>
      <c r="J105" s="112" t="s">
        <v>121</v>
      </c>
      <c r="K105" s="112" t="s">
        <v>122</v>
      </c>
    </row>
    <row r="106" spans="1:11" x14ac:dyDescent="0.25">
      <c r="A106" s="111" t="s">
        <v>123</v>
      </c>
      <c r="B106" s="113">
        <v>6.6528239447005815</v>
      </c>
      <c r="C106" s="113">
        <v>0.19276584223811796</v>
      </c>
      <c r="D106" s="113">
        <v>-0.19424988106048813</v>
      </c>
      <c r="E106" s="113">
        <v>2.4460103123548653E-3</v>
      </c>
      <c r="F106" s="113">
        <v>-4.6003936653646769E-3</v>
      </c>
      <c r="G106" s="113">
        <v>2.4577745192259741E-3</v>
      </c>
      <c r="H106" s="113">
        <v>1.3417179876163222E-5</v>
      </c>
      <c r="I106" s="113">
        <v>-3.3188332322194836E-5</v>
      </c>
      <c r="J106" s="113">
        <v>3.1310571352101552E-5</v>
      </c>
      <c r="K106" s="113">
        <v>-1.1687380385348852E-5</v>
      </c>
    </row>
    <row r="107" spans="1:11" x14ac:dyDescent="0.25">
      <c r="A107" s="111" t="s">
        <v>124</v>
      </c>
      <c r="B107" s="113">
        <v>4.117907167027993</v>
      </c>
      <c r="C107" s="113">
        <v>0.15208577761148737</v>
      </c>
      <c r="D107" s="113">
        <v>-2.8372339577548589E-2</v>
      </c>
      <c r="E107" s="113">
        <v>2.0606826647655437E-3</v>
      </c>
      <c r="F107" s="113">
        <v>-8.6608638275133536E-4</v>
      </c>
      <c r="G107" s="113">
        <v>2.9606024773627554E-5</v>
      </c>
      <c r="H107" s="113">
        <v>1.0354621443753961E-5</v>
      </c>
      <c r="I107" s="113">
        <v>-8.7903273069969663E-6</v>
      </c>
      <c r="J107" s="113">
        <v>1.0854487183426597E-6</v>
      </c>
      <c r="K107" s="113">
        <v>-1.2215776985121399E-7</v>
      </c>
    </row>
  </sheetData>
  <scenarios current="0" show="0">
    <scenario name="Tdiff" locked="1" count="1" user="Rene" comment="Created by Rene on 11/11/2015">
      <inputCells r="M15" val="-2.5"/>
    </scenario>
  </scenarios>
  <mergeCells count="129">
    <mergeCell ref="A1:V1"/>
    <mergeCell ref="A2:B2"/>
    <mergeCell ref="C2:F2"/>
    <mergeCell ref="H2:K2"/>
    <mergeCell ref="M2:X2"/>
    <mergeCell ref="M3:O3"/>
    <mergeCell ref="P3:R3"/>
    <mergeCell ref="S3:U3"/>
    <mergeCell ref="V3:X3"/>
    <mergeCell ref="A4:A5"/>
    <mergeCell ref="M4:O4"/>
    <mergeCell ref="P4:R4"/>
    <mergeCell ref="S4:U4"/>
    <mergeCell ref="V4:X4"/>
    <mergeCell ref="M5:O5"/>
    <mergeCell ref="P5:R5"/>
    <mergeCell ref="S5:U5"/>
    <mergeCell ref="V5:X5"/>
    <mergeCell ref="M8:O8"/>
    <mergeCell ref="P8:R8"/>
    <mergeCell ref="S8:U8"/>
    <mergeCell ref="V8:X8"/>
    <mergeCell ref="M9:O9"/>
    <mergeCell ref="P9:R9"/>
    <mergeCell ref="S9:U9"/>
    <mergeCell ref="V9:X9"/>
    <mergeCell ref="M6:O6"/>
    <mergeCell ref="P6:R6"/>
    <mergeCell ref="S6:U6"/>
    <mergeCell ref="V6:X6"/>
    <mergeCell ref="M7:O7"/>
    <mergeCell ref="P7:R7"/>
    <mergeCell ref="S7:U7"/>
    <mergeCell ref="V7:X7"/>
    <mergeCell ref="M12:O12"/>
    <mergeCell ref="P12:R12"/>
    <mergeCell ref="S12:U12"/>
    <mergeCell ref="V12:X12"/>
    <mergeCell ref="M13:O13"/>
    <mergeCell ref="P13:R13"/>
    <mergeCell ref="S13:U13"/>
    <mergeCell ref="V13:X13"/>
    <mergeCell ref="M10:O10"/>
    <mergeCell ref="P10:R10"/>
    <mergeCell ref="S10:U10"/>
    <mergeCell ref="V10:X10"/>
    <mergeCell ref="M11:O11"/>
    <mergeCell ref="P11:R11"/>
    <mergeCell ref="S11:U11"/>
    <mergeCell ref="V11:X11"/>
    <mergeCell ref="M17:O17"/>
    <mergeCell ref="P17:R17"/>
    <mergeCell ref="S17:U17"/>
    <mergeCell ref="V17:X17"/>
    <mergeCell ref="M18:O18"/>
    <mergeCell ref="P18:R18"/>
    <mergeCell ref="S18:U18"/>
    <mergeCell ref="V18:X18"/>
    <mergeCell ref="M14:O14"/>
    <mergeCell ref="P14:R14"/>
    <mergeCell ref="S14:U14"/>
    <mergeCell ref="V14:X14"/>
    <mergeCell ref="M16:O16"/>
    <mergeCell ref="P16:R16"/>
    <mergeCell ref="S16:U16"/>
    <mergeCell ref="V16:X16"/>
    <mergeCell ref="M21:O21"/>
    <mergeCell ref="P21:R21"/>
    <mergeCell ref="S21:U21"/>
    <mergeCell ref="V21:X21"/>
    <mergeCell ref="M22:O22"/>
    <mergeCell ref="P22:R22"/>
    <mergeCell ref="S22:U22"/>
    <mergeCell ref="V22:X22"/>
    <mergeCell ref="M19:O19"/>
    <mergeCell ref="P19:R19"/>
    <mergeCell ref="S19:U19"/>
    <mergeCell ref="V19:X19"/>
    <mergeCell ref="M20:O20"/>
    <mergeCell ref="P20:R20"/>
    <mergeCell ref="S20:U20"/>
    <mergeCell ref="V20:X20"/>
    <mergeCell ref="M29:O29"/>
    <mergeCell ref="P29:R29"/>
    <mergeCell ref="S29:U29"/>
    <mergeCell ref="V29:X29"/>
    <mergeCell ref="M31:O31"/>
    <mergeCell ref="P31:R31"/>
    <mergeCell ref="S31:U31"/>
    <mergeCell ref="V31:X31"/>
    <mergeCell ref="M23:O23"/>
    <mergeCell ref="P23:R23"/>
    <mergeCell ref="S23:U23"/>
    <mergeCell ref="V23:X23"/>
    <mergeCell ref="M28:O28"/>
    <mergeCell ref="P28:R28"/>
    <mergeCell ref="S28:U28"/>
    <mergeCell ref="V28:X28"/>
    <mergeCell ref="M35:O35"/>
    <mergeCell ref="P35:R35"/>
    <mergeCell ref="S35:U35"/>
    <mergeCell ref="V35:X35"/>
    <mergeCell ref="M36:O36"/>
    <mergeCell ref="P36:R36"/>
    <mergeCell ref="S36:U36"/>
    <mergeCell ref="V36:X36"/>
    <mergeCell ref="M32:O32"/>
    <mergeCell ref="P32:R32"/>
    <mergeCell ref="S32:U32"/>
    <mergeCell ref="V32:X32"/>
    <mergeCell ref="M34:O34"/>
    <mergeCell ref="P34:R34"/>
    <mergeCell ref="S34:U34"/>
    <mergeCell ref="V34:X34"/>
    <mergeCell ref="M43:X43"/>
    <mergeCell ref="C41:F41"/>
    <mergeCell ref="H41:K41"/>
    <mergeCell ref="M41:X41"/>
    <mergeCell ref="M42:O42"/>
    <mergeCell ref="P42:R42"/>
    <mergeCell ref="S42:U42"/>
    <mergeCell ref="V42:X42"/>
    <mergeCell ref="C39:F39"/>
    <mergeCell ref="H39:K39"/>
    <mergeCell ref="M39:X39"/>
    <mergeCell ref="M40:O40"/>
    <mergeCell ref="P40:R40"/>
    <mergeCell ref="S40:U40"/>
    <mergeCell ref="V40:X4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1FE01E710DD478361395E5A09A426" ma:contentTypeVersion="1" ma:contentTypeDescription="Create a new document." ma:contentTypeScope="" ma:versionID="366138cb86073b606f2e65b7b338e8f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4DEC4E-089C-4706-A68D-3B3E94C41C2B}"/>
</file>

<file path=customXml/itemProps2.xml><?xml version="1.0" encoding="utf-8"?>
<ds:datastoreItem xmlns:ds="http://schemas.openxmlformats.org/officeDocument/2006/customXml" ds:itemID="{38FBF276-3A54-481F-9834-0131A704D264}"/>
</file>

<file path=customXml/itemProps3.xml><?xml version="1.0" encoding="utf-8"?>
<ds:datastoreItem xmlns:ds="http://schemas.openxmlformats.org/officeDocument/2006/customXml" ds:itemID="{8AD9D15B-1AA6-41B8-AE94-E071EEEAE3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Table 19</vt:lpstr>
      <vt:lpstr>'Table 19'!d</vt:lpstr>
      <vt:lpstr>'Table 19'!h</vt:lpstr>
      <vt:lpstr>'Table 19'!t</vt:lpstr>
      <vt:lpstr>'Table 19'!w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vHK</cp:lastModifiedBy>
  <dcterms:created xsi:type="dcterms:W3CDTF">2015-12-17T08:18:18Z</dcterms:created>
  <dcterms:modified xsi:type="dcterms:W3CDTF">2015-12-17T09:33:13Z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0x010100F171FE01E710DD478361395E5A09A426</vt:lpwstr>
  </property>
</Properties>
</file>